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rtucuncu/Downloads/"/>
    </mc:Choice>
  </mc:AlternateContent>
  <xr:revisionPtr revIDLastSave="0" documentId="13_ncr:1_{F96F339F-66C4-D24F-97C8-B488213CC6AA}" xr6:coauthVersionLast="47" xr6:coauthVersionMax="47" xr10:uidLastSave="{00000000-0000-0000-0000-000000000000}"/>
  <workbookProtection workbookAlgorithmName="SHA-512" workbookHashValue="r/oRTjUx4PCzqp/A/Zq/LLXKEMb07FPtb9t4n22h6RdL/xX5dkbYyDUiYFDby4CYcRPM+yNSe/byHeL+SS7B1Q==" workbookSaltValue="C8AsMbiZvIcKaz3e2FgY3g==" workbookSpinCount="100000" lockStructure="1"/>
  <bookViews>
    <workbookView xWindow="0" yWindow="500" windowWidth="28800" windowHeight="15800" xr2:uid="{00000000-000D-0000-FFFF-FFFF00000000}"/>
  </bookViews>
  <sheets>
    <sheet name="Amazon Gideri Hesaplama" sheetId="1" r:id="rId1"/>
    <sheet name="Hizmetlerimiz" sheetId="11" r:id="rId2"/>
    <sheet name="Komisyon Non-Apperal" sheetId="8" state="hidden" r:id="rId3"/>
    <sheet name="Komisyon Apperal" sheetId="9" state="hidden" r:id="rId4"/>
  </sheets>
  <calcPr calcId="191029"/>
  <customWorkbookViews>
    <customWorkbookView name="Filter 1" guid="{194BFD3D-0D55-43A2-AE07-2D4DA0EDBBFB}" maximized="1" windowWidth="0" windowHeight="0" activeSheetId="0"/>
    <customWorkbookView name="Filter 3" guid="{FC578184-0127-473A-AC0E-63AEF283DAD2}" maximized="1" windowWidth="0" windowHeight="0" activeSheetId="0"/>
    <customWorkbookView name="Filter 2" guid="{7C4DE00F-BFCB-4511-BA39-4104AE46A2E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9" l="1"/>
  <c r="H22" i="8"/>
  <c r="H21" i="8"/>
  <c r="H20" i="8"/>
  <c r="D13" i="1"/>
  <c r="H24" i="8" l="1"/>
  <c r="H23" i="8"/>
  <c r="F31" i="1"/>
  <c r="H20" i="9"/>
  <c r="H25" i="8"/>
  <c r="H21" i="9"/>
  <c r="H22" i="9"/>
  <c r="F30" i="1"/>
  <c r="F19" i="1"/>
  <c r="F38" i="1" s="1"/>
  <c r="I25" i="9" l="1"/>
  <c r="J25" i="9" s="1"/>
  <c r="I22" i="9"/>
  <c r="J22" i="9" s="1"/>
  <c r="I21" i="9"/>
  <c r="J21" i="9" s="1"/>
  <c r="H26" i="9"/>
  <c r="I26" i="9" s="1"/>
  <c r="J26" i="9" s="1"/>
  <c r="I25" i="8"/>
  <c r="J25" i="8" s="1"/>
  <c r="I22" i="8"/>
  <c r="J22" i="8" s="1"/>
  <c r="I21" i="8"/>
  <c r="J21" i="8" s="1"/>
  <c r="H26" i="8"/>
  <c r="I26" i="8" s="1"/>
  <c r="J26" i="8" s="1"/>
  <c r="I20" i="9" l="1"/>
  <c r="J20" i="9" s="1"/>
  <c r="H23" i="9"/>
  <c r="H24" i="9"/>
  <c r="I20" i="8"/>
  <c r="J20" i="8" s="1"/>
  <c r="G30" i="9" l="1"/>
  <c r="G31" i="9"/>
  <c r="H31" i="9" s="1"/>
  <c r="G31" i="8"/>
  <c r="H31" i="8" s="1"/>
  <c r="G30" i="8"/>
  <c r="F32" i="1" s="1"/>
  <c r="H34" i="9" l="1"/>
  <c r="H30" i="9"/>
  <c r="H33" i="9"/>
  <c r="K26" i="9"/>
  <c r="H34" i="8"/>
  <c r="F40" i="1" s="1"/>
  <c r="H33" i="8"/>
  <c r="H30" i="8"/>
  <c r="F39" i="1" s="1"/>
  <c r="F41" i="1" l="1"/>
  <c r="F42" i="1" s="1"/>
</calcChain>
</file>

<file path=xl/sharedStrings.xml><?xml version="1.0" encoding="utf-8"?>
<sst xmlns="http://schemas.openxmlformats.org/spreadsheetml/2006/main" count="261" uniqueCount="142">
  <si>
    <t>ADVANCE GLOBAL TRADE</t>
  </si>
  <si>
    <t>ÜRÜN BİLGİLERİ</t>
  </si>
  <si>
    <t>AÇIKLAMA</t>
  </si>
  <si>
    <t>BİRİM</t>
  </si>
  <si>
    <t>TUTAR</t>
  </si>
  <si>
    <t>AMAZON GİDERİ HESAPLAMA</t>
  </si>
  <si>
    <t>MALİYET</t>
  </si>
  <si>
    <t>KATEGORİ</t>
  </si>
  <si>
    <t>SATIŞ FİYATI</t>
  </si>
  <si>
    <t>USD/Adet</t>
  </si>
  <si>
    <t>Categories</t>
  </si>
  <si>
    <t>Referral fee percentages</t>
  </si>
  <si>
    <t>Applicable minimum referral fee</t>
  </si>
  <si>
    <t>Product size tier</t>
  </si>
  <si>
    <t>Ağırlık</t>
  </si>
  <si>
    <t>EN UZUN KENAR</t>
  </si>
  <si>
    <t>ORTA KENAR</t>
  </si>
  <si>
    <t>EN KISA KENAR</t>
  </si>
  <si>
    <t>UZUNLUK + BEL ÇEVRESİ</t>
  </si>
  <si>
    <t>Fulfillment fee (non-Apparel)</t>
  </si>
  <si>
    <t>Weight Condition</t>
  </si>
  <si>
    <t>Addiotional Fee/lb</t>
  </si>
  <si>
    <t>3D Printed Products</t>
  </si>
  <si>
    <t>Small standard-size</t>
  </si>
  <si>
    <t>Amazon Device Accessories</t>
  </si>
  <si>
    <t>Automotive &amp; Powersports</t>
  </si>
  <si>
    <t>Baby Products sales price of &lt;$10.00</t>
  </si>
  <si>
    <t>Large standard-size</t>
  </si>
  <si>
    <t>Baby Products sales price of &gt;$10.00</t>
  </si>
  <si>
    <t>Beauty sales price of &lt;$10.00</t>
  </si>
  <si>
    <t>Beauty sales price of &gt;$10.00</t>
  </si>
  <si>
    <t>Books</t>
  </si>
  <si>
    <t>Camera and Photo¹</t>
  </si>
  <si>
    <t>Cell Phone Devices*</t>
  </si>
  <si>
    <t>Small oversize</t>
  </si>
  <si>
    <t>Clothing &amp; Accessories (including activewear)</t>
  </si>
  <si>
    <t>Medium oversize</t>
  </si>
  <si>
    <t>Collectible Books</t>
  </si>
  <si>
    <t>Large oversize</t>
  </si>
  <si>
    <t>Consumer Electronics</t>
  </si>
  <si>
    <t>Special oversize</t>
  </si>
  <si>
    <t>Electronics Accessoriessales price of &lt;$100.00</t>
  </si>
  <si>
    <t>Electronics Accessoriessales price of &gt;$100.00</t>
  </si>
  <si>
    <t>Everything Else3</t>
  </si>
  <si>
    <t>Furniture sales price of &lt;$200.00</t>
  </si>
  <si>
    <t>ÖLÇÜ</t>
  </si>
  <si>
    <t>SIZE</t>
  </si>
  <si>
    <t>SIRA</t>
  </si>
  <si>
    <t>Size</t>
  </si>
  <si>
    <t>1-9 Ay</t>
  </si>
  <si>
    <t>10-12 Ay</t>
  </si>
  <si>
    <t>Furniture sales price of &gt;$200.00</t>
  </si>
  <si>
    <t>UZUN KENAR (inch)</t>
  </si>
  <si>
    <t>over size</t>
  </si>
  <si>
    <t>Grocery &amp; Gourmet Food sales price of &lt;$15.00</t>
  </si>
  <si>
    <t>ORTA KENAR (inch)</t>
  </si>
  <si>
    <t>standard size</t>
  </si>
  <si>
    <t>Grocery &amp; Gourmet Food sales price of &gt;$15.00</t>
  </si>
  <si>
    <t>KISA KENAR (inch)</t>
  </si>
  <si>
    <t>Health &amp; Personal Care sales price of &lt;$10.00</t>
  </si>
  <si>
    <t>HACİM (feet3)</t>
  </si>
  <si>
    <t>Health &amp; Personal Care sales price of &gt;$10.00</t>
  </si>
  <si>
    <t>DESİ</t>
  </si>
  <si>
    <t>Home &amp; Garden (including Pet Supplies)</t>
  </si>
  <si>
    <t>AĞIRLIK (lbm)</t>
  </si>
  <si>
    <t>Industrial &amp; Scientific (including Food Service and Janitorial &amp; Sanitation)</t>
  </si>
  <si>
    <t>Jewelry sales price of &lt;$250.00</t>
  </si>
  <si>
    <t>Jewelry sales price of &gt;$250.00</t>
  </si>
  <si>
    <t>Non-Apperal</t>
  </si>
  <si>
    <t>Kitchen</t>
  </si>
  <si>
    <t>SONUÇ</t>
  </si>
  <si>
    <t>Luggage &amp; Travel Accessories</t>
  </si>
  <si>
    <t>AĞIRLIKSAL</t>
  </si>
  <si>
    <t>Major Appliances sales price of &lt;$300.00</t>
  </si>
  <si>
    <t>HACİMSEL</t>
  </si>
  <si>
    <t>Major Appliances sales price of &gt;$300.00</t>
  </si>
  <si>
    <t>Music</t>
  </si>
  <si>
    <t>1-9 depolama ücreti</t>
  </si>
  <si>
    <t>Musical Instruments</t>
  </si>
  <si>
    <t>10-12 depolama ücreti</t>
  </si>
  <si>
    <t>Office Products</t>
  </si>
  <si>
    <t>Outdoors</t>
  </si>
  <si>
    <t>Personal Computers</t>
  </si>
  <si>
    <t>Shoes, Handbags &amp; Sunglasses</t>
  </si>
  <si>
    <t>Software &amp; Computer/Video Games</t>
  </si>
  <si>
    <t>Sports (excluding Sports Collectibles)</t>
  </si>
  <si>
    <t>Tools &amp; Home Improvement</t>
  </si>
  <si>
    <t>Toys &amp; Games2</t>
  </si>
  <si>
    <t>Unlocked Cell Phones</t>
  </si>
  <si>
    <t>Video &amp; DVD</t>
  </si>
  <si>
    <t>Video Game Consoles</t>
  </si>
  <si>
    <t>Watches sales price of &lt;$1500.00</t>
  </si>
  <si>
    <t>Watches sales price of &gt;$1500.00</t>
  </si>
  <si>
    <t>ÜRÜN AMBALAJ BİLGİLERİ</t>
  </si>
  <si>
    <t>UZUN KENAR</t>
  </si>
  <si>
    <t>KISA KENAR</t>
  </si>
  <si>
    <t>AĞIRLIK</t>
  </si>
  <si>
    <t>HACİM</t>
  </si>
  <si>
    <t>m</t>
  </si>
  <si>
    <t>g</t>
  </si>
  <si>
    <t>m3</t>
  </si>
  <si>
    <t>feet3</t>
  </si>
  <si>
    <t>AMAZON GİDERLERİ</t>
  </si>
  <si>
    <t>REFERRAL FEE</t>
  </si>
  <si>
    <t>FBA FEE</t>
  </si>
  <si>
    <t>STORAGE FEE</t>
  </si>
  <si>
    <t>TOPLAM AMAZON GİDERİ</t>
  </si>
  <si>
    <t>USD/ADET</t>
  </si>
  <si>
    <t>USD/(AY*ADET)</t>
  </si>
  <si>
    <t>Tarih:</t>
  </si>
  <si>
    <t>AMAZON GERİ ÖDEMESİ</t>
  </si>
  <si>
    <t>Pazar Analizi</t>
  </si>
  <si>
    <t>Yatırım Planı</t>
  </si>
  <si>
    <t>Şirket Kurulumu</t>
  </si>
  <si>
    <t>Fatura Temini</t>
  </si>
  <si>
    <t>Banka Hesap Açılışı (Online)</t>
  </si>
  <si>
    <t>Banka Hesap Açılışı (Gerçek)</t>
  </si>
  <si>
    <t>Amazon Hesap Açılışı</t>
  </si>
  <si>
    <t>Knock Out Search</t>
  </si>
  <si>
    <t>Marka Başvurusu (USPTO)</t>
  </si>
  <si>
    <t>Marka Kaydı (Amazon)</t>
  </si>
  <si>
    <t>Rakip Liste Analizi</t>
  </si>
  <si>
    <t>Varyasyon Analizi</t>
  </si>
  <si>
    <t>Ürün Tasarımı (Niteliksel+Niceliksel)</t>
  </si>
  <si>
    <t>Fotoğraf ve Video Planlama</t>
  </si>
  <si>
    <t>A+ Content Planlama</t>
  </si>
  <si>
    <t>Dinamik Rakip Analizi</t>
  </si>
  <si>
    <t>Dinamik Keyword Analizi</t>
  </si>
  <si>
    <t>Reklam Yönetimi</t>
  </si>
  <si>
    <t>Stok Yönetimi</t>
  </si>
  <si>
    <t>Amazon ve Müşteri İletişimi</t>
  </si>
  <si>
    <t>Raporlama</t>
  </si>
  <si>
    <t>1- Ürün ve Pazar Analizi (Ücretsiz)</t>
  </si>
  <si>
    <t>2- Tüzel İşlemler</t>
  </si>
  <si>
    <t>Adres Temini (Yıllık Kiralama)</t>
  </si>
  <si>
    <t>3- Marka İşlemleri</t>
  </si>
  <si>
    <t>4- Liste Oluşturma</t>
  </si>
  <si>
    <t>5- Lojistik ve Ara Depo Organizasyonu</t>
  </si>
  <si>
    <t>6- Lansman</t>
  </si>
  <si>
    <t>7- Hesap Yönetimi</t>
  </si>
  <si>
    <t>Oruçreis Mah. Tekstilkent Cad. Koza Plaza A Blok No: 12B İç Kapı No: 121 Esenler / İSTANBUL
+90 212 438 81 10 | info@advanceglobaltrade.com</t>
  </si>
  <si>
    <t>HİZMETLERİMİZ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</si>
</sst>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\ yyyy"/>
    <numFmt numFmtId="165" formatCode="[$$-45C]#,##0.00"/>
    <numFmt numFmtId="166" formatCode="&quot;$&quot;#,##0.00_);[Red]\(&quot;$&quot;#,##0.00\)"/>
    <numFmt numFmtId="167" formatCode="0.000"/>
    <numFmt numFmtId="168" formatCode="0.0000"/>
    <numFmt numFmtId="169" formatCode="[$$-409]#,##0.00_ ;\-[$$-409]#,##0.00\ "/>
  </numFmts>
  <fonts count="50" x14ac:knownFonts="1">
    <font>
      <sz val="10"/>
      <color rgb="FF000000"/>
      <name val="Arial"/>
    </font>
    <font>
      <b/>
      <sz val="20"/>
      <color rgb="FF434343"/>
      <name val="Arial"/>
      <family val="2"/>
    </font>
    <font>
      <b/>
      <sz val="20"/>
      <color rgb="FF434343"/>
      <name val="Roboto"/>
    </font>
    <font>
      <b/>
      <sz val="10"/>
      <color rgb="FF434343"/>
      <name val="Arial"/>
      <family val="2"/>
    </font>
    <font>
      <sz val="10"/>
      <color rgb="FFFF9900"/>
      <name val="Arial"/>
      <family val="2"/>
    </font>
    <font>
      <sz val="10"/>
      <name val="Arial"/>
      <family val="2"/>
    </font>
    <font>
      <b/>
      <sz val="10"/>
      <color rgb="FF434343"/>
      <name val="Roboto"/>
    </font>
    <font>
      <b/>
      <sz val="10"/>
      <name val="Arial"/>
      <family val="2"/>
    </font>
    <font>
      <sz val="10"/>
      <color rgb="FF434343"/>
      <name val="Arial"/>
      <family val="2"/>
    </font>
    <font>
      <sz val="7"/>
      <color rgb="FF434343"/>
      <name val="Arial"/>
      <family val="2"/>
    </font>
    <font>
      <sz val="12"/>
      <color rgb="FF434343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charset val="162"/>
      <scheme val="minor"/>
    </font>
    <font>
      <sz val="11"/>
      <color rgb="FFC00000"/>
      <name val="Century Gothic"/>
      <family val="2"/>
      <charset val="162"/>
    </font>
    <font>
      <b/>
      <sz val="11"/>
      <color rgb="FFC00000"/>
      <name val="Century Gothic"/>
      <family val="2"/>
      <charset val="162"/>
    </font>
    <font>
      <b/>
      <sz val="11"/>
      <color rgb="FF111111"/>
      <name val="Century Gothic"/>
      <family val="2"/>
      <charset val="162"/>
    </font>
    <font>
      <sz val="11"/>
      <color theme="1"/>
      <name val="Century Gothic"/>
      <family val="2"/>
      <charset val="162"/>
    </font>
    <font>
      <sz val="11"/>
      <color rgb="FF111111"/>
      <name val="Century Gothic"/>
      <family val="2"/>
      <charset val="162"/>
    </font>
    <font>
      <sz val="15"/>
      <color rgb="FF111111"/>
      <name val="Arial"/>
      <family val="2"/>
      <charset val="162"/>
    </font>
    <font>
      <b/>
      <sz val="15"/>
      <color rgb="FF474A4F"/>
      <name val="Arial"/>
      <family val="2"/>
      <charset val="162"/>
    </font>
    <font>
      <i/>
      <sz val="15"/>
      <color rgb="FF111111"/>
      <name val="Arial"/>
      <family val="2"/>
      <charset val="162"/>
    </font>
    <font>
      <sz val="12"/>
      <name val="Calibri"/>
      <family val="2"/>
      <scheme val="minor"/>
    </font>
    <font>
      <b/>
      <sz val="12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20"/>
      <color rgb="FF434343"/>
      <name val="Century Gothic"/>
      <family val="1"/>
    </font>
    <font>
      <sz val="10"/>
      <color rgb="FF000000"/>
      <name val="Century Gothic"/>
      <family val="1"/>
    </font>
    <font>
      <sz val="12"/>
      <color rgb="FF000000"/>
      <name val="Century Gothic"/>
      <family val="1"/>
    </font>
    <font>
      <b/>
      <sz val="30"/>
      <color rgb="FF000000"/>
      <name val="Century Gothic"/>
      <family val="1"/>
    </font>
    <font>
      <i/>
      <sz val="10"/>
      <name val="Century Gothic"/>
      <family val="1"/>
    </font>
    <font>
      <i/>
      <sz val="10"/>
      <color rgb="FF000000"/>
      <name val="Century Gothic"/>
      <family val="1"/>
    </font>
    <font>
      <b/>
      <sz val="36"/>
      <color rgb="FF000000"/>
      <name val="Century Gothic"/>
      <family val="1"/>
    </font>
    <font>
      <b/>
      <sz val="24"/>
      <color rgb="FF434343"/>
      <name val="Century Gothic"/>
      <family val="1"/>
    </font>
    <font>
      <b/>
      <sz val="10"/>
      <color rgb="FF000000"/>
      <name val="Century Gothic"/>
      <family val="1"/>
    </font>
    <font>
      <sz val="10"/>
      <color rgb="FF434343"/>
      <name val="Century Gothic"/>
      <family val="1"/>
    </font>
    <font>
      <sz val="10"/>
      <color rgb="FFFFFFFF"/>
      <name val="Century Gothic"/>
      <family val="1"/>
    </font>
    <font>
      <b/>
      <sz val="10"/>
      <color rgb="FF434343"/>
      <name val="Century Gothic"/>
      <family val="1"/>
    </font>
    <font>
      <b/>
      <sz val="11"/>
      <color rgb="FF434343"/>
      <name val="Century Gothic"/>
      <family val="1"/>
    </font>
    <font>
      <sz val="11"/>
      <color rgb="FF434343"/>
      <name val="Century Gothic"/>
      <family val="1"/>
    </font>
    <font>
      <sz val="11"/>
      <color rgb="FFFFFFFF"/>
      <name val="Century Gothic"/>
      <family val="1"/>
    </font>
    <font>
      <i/>
      <sz val="30"/>
      <color rgb="FF000000"/>
      <name val="Century Gothic"/>
      <family val="1"/>
    </font>
    <font>
      <sz val="8"/>
      <color rgb="FF000000"/>
      <name val="Century Gothic"/>
      <family val="1"/>
    </font>
    <font>
      <b/>
      <sz val="11"/>
      <color rgb="FF000000"/>
      <name val="Century Gothic"/>
      <family val="1"/>
    </font>
    <font>
      <sz val="9"/>
      <color rgb="FF000000"/>
      <name val="Century Gothic"/>
      <family val="1"/>
    </font>
    <font>
      <sz val="8"/>
      <color theme="2" tint="-0.249977111117893"/>
      <name val="Times New Roman"/>
      <family val="1"/>
    </font>
    <font>
      <b/>
      <i/>
      <sz val="10"/>
      <color rgb="FF000000"/>
      <name val="Century Gothic"/>
      <family val="1"/>
    </font>
    <font>
      <sz val="10"/>
      <color theme="2" tint="-0.249977111117893"/>
      <name val="Century Gothic"/>
      <family val="1"/>
    </font>
  </fonts>
  <fills count="14">
    <fill>
      <patternFill patternType="none"/>
    </fill>
    <fill>
      <patternFill patternType="gray125"/>
    </fill>
    <fill>
      <patternFill patternType="solid">
        <fgColor rgb="FF41D0A9"/>
        <bgColor rgb="FF41D0A9"/>
      </patternFill>
    </fill>
    <fill>
      <patternFill patternType="solid">
        <fgColor rgb="FFFF9E00"/>
        <bgColor rgb="FFFF9E00"/>
      </patternFill>
    </fill>
    <fill>
      <patternFill patternType="solid">
        <fgColor rgb="FF434343"/>
        <bgColor rgb="FF4343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BF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/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/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23" fillId="0" borderId="0"/>
  </cellStyleXfs>
  <cellXfs count="188">
    <xf numFmtId="0" fontId="0" fillId="0" borderId="0" xfId="0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9" fontId="14" fillId="0" borderId="0" xfId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0" fillId="0" borderId="0" xfId="0"/>
    <xf numFmtId="0" fontId="13" fillId="0" borderId="0" xfId="0" applyFont="1" applyAlignment="1">
      <alignment vertical="center"/>
    </xf>
    <xf numFmtId="0" fontId="15" fillId="5" borderId="2" xfId="0" applyFont="1" applyFill="1" applyBorder="1" applyAlignment="1">
      <alignment vertical="center" wrapText="1"/>
    </xf>
    <xf numFmtId="9" fontId="15" fillId="5" borderId="3" xfId="1" applyFont="1" applyFill="1" applyBorder="1" applyAlignment="1">
      <alignment horizontal="center" vertical="center" wrapText="1"/>
    </xf>
    <xf numFmtId="165" fontId="16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5" borderId="4" xfId="0" applyFont="1" applyFill="1" applyBorder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7" fillId="0" borderId="4" xfId="0" applyFont="1" applyBorder="1"/>
    <xf numFmtId="9" fontId="17" fillId="0" borderId="2" xfId="1" applyFont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0" fontId="0" fillId="6" borderId="2" xfId="0" applyFill="1" applyBorder="1"/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3" xfId="0" applyFont="1" applyBorder="1"/>
    <xf numFmtId="9" fontId="17" fillId="0" borderId="4" xfId="1" applyFont="1" applyBorder="1" applyAlignment="1">
      <alignment horizontal="center" vertical="center"/>
    </xf>
    <xf numFmtId="165" fontId="17" fillId="0" borderId="6" xfId="0" applyNumberFormat="1" applyFont="1" applyBorder="1" applyAlignment="1">
      <alignment horizontal="center" vertical="center"/>
    </xf>
    <xf numFmtId="0" fontId="0" fillId="6" borderId="7" xfId="0" applyFill="1" applyBorder="1"/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2" xfId="0" applyFont="1" applyBorder="1"/>
    <xf numFmtId="9" fontId="17" fillId="0" borderId="9" xfId="1" applyFont="1" applyBorder="1" applyAlignment="1">
      <alignment horizontal="center" vertical="center"/>
    </xf>
    <xf numFmtId="165" fontId="17" fillId="0" borderId="10" xfId="0" applyNumberFormat="1" applyFont="1" applyBorder="1" applyAlignment="1">
      <alignment horizontal="center" vertical="center"/>
    </xf>
    <xf numFmtId="0" fontId="0" fillId="6" borderId="9" xfId="0" applyFill="1" applyBorder="1"/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7" borderId="7" xfId="0" applyFill="1" applyBorder="1"/>
    <xf numFmtId="0" fontId="0" fillId="0" borderId="0" xfId="0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8" borderId="2" xfId="0" applyFill="1" applyBorder="1"/>
    <xf numFmtId="2" fontId="0" fillId="0" borderId="2" xfId="0" applyNumberFormat="1" applyBorder="1" applyAlignment="1">
      <alignment horizontal="center" vertical="center"/>
    </xf>
    <xf numFmtId="0" fontId="0" fillId="9" borderId="4" xfId="0" applyFill="1" applyBorder="1"/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0" borderId="9" xfId="0" applyFill="1" applyBorder="1"/>
    <xf numFmtId="0" fontId="18" fillId="0" borderId="0" xfId="0" applyFont="1"/>
    <xf numFmtId="0" fontId="19" fillId="0" borderId="0" xfId="0" applyFont="1"/>
    <xf numFmtId="0" fontId="0" fillId="0" borderId="9" xfId="0" applyBorder="1"/>
    <xf numFmtId="0" fontId="20" fillId="0" borderId="0" xfId="0" applyFont="1"/>
    <xf numFmtId="166" fontId="18" fillId="0" borderId="0" xfId="0" applyNumberFormat="1" applyFont="1"/>
    <xf numFmtId="0" fontId="21" fillId="0" borderId="0" xfId="0" applyFont="1"/>
    <xf numFmtId="0" fontId="17" fillId="0" borderId="2" xfId="0" applyFont="1" applyBorder="1" applyAlignment="1">
      <alignment vertical="center"/>
    </xf>
    <xf numFmtId="0" fontId="12" fillId="5" borderId="11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49" fontId="12" fillId="5" borderId="4" xfId="0" applyNumberFormat="1" applyFont="1" applyFill="1" applyBorder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2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/>
    </xf>
    <xf numFmtId="0" fontId="12" fillId="0" borderId="13" xfId="0" applyFont="1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2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1" fillId="11" borderId="18" xfId="0" applyFont="1" applyFill="1" applyBorder="1" applyAlignment="1">
      <alignment horizontal="center" vertical="center"/>
    </xf>
    <xf numFmtId="0" fontId="12" fillId="0" borderId="20" xfId="0" applyFont="1" applyBorder="1"/>
    <xf numFmtId="0" fontId="12" fillId="0" borderId="21" xfId="0" applyFont="1" applyBorder="1" applyAlignment="1">
      <alignment horizontal="left" vertical="center"/>
    </xf>
    <xf numFmtId="2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1" fillId="11" borderId="22" xfId="0" applyFont="1" applyFill="1" applyBorder="1" applyAlignment="1">
      <alignment horizontal="center" vertical="center"/>
    </xf>
    <xf numFmtId="0" fontId="0" fillId="0" borderId="19" xfId="0" applyBorder="1"/>
    <xf numFmtId="0" fontId="0" fillId="0" borderId="18" xfId="0" applyBorder="1"/>
    <xf numFmtId="0" fontId="12" fillId="0" borderId="20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21" fillId="11" borderId="9" xfId="0" applyFont="1" applyFill="1" applyBorder="1" applyAlignment="1">
      <alignment horizontal="center" vertical="center"/>
    </xf>
    <xf numFmtId="2" fontId="0" fillId="0" borderId="0" xfId="0" applyNumberFormat="1"/>
    <xf numFmtId="165" fontId="17" fillId="0" borderId="5" xfId="0" applyNumberFormat="1" applyFont="1" applyBorder="1" applyAlignment="1">
      <alignment horizontal="center" vertical="center" wrapText="1"/>
    </xf>
    <xf numFmtId="165" fontId="17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0" xfId="2"/>
    <xf numFmtId="0" fontId="21" fillId="5" borderId="25" xfId="0" applyFont="1" applyFill="1" applyBorder="1"/>
    <xf numFmtId="0" fontId="24" fillId="5" borderId="25" xfId="0" applyFont="1" applyFill="1" applyBorder="1"/>
    <xf numFmtId="0" fontId="24" fillId="5" borderId="25" xfId="0" applyFont="1" applyFill="1" applyBorder="1" applyAlignment="1">
      <alignment horizontal="center" vertical="center"/>
    </xf>
    <xf numFmtId="0" fontId="0" fillId="0" borderId="26" xfId="0" applyBorder="1"/>
    <xf numFmtId="0" fontId="25" fillId="0" borderId="26" xfId="0" applyFont="1" applyBorder="1"/>
    <xf numFmtId="2" fontId="25" fillId="0" borderId="26" xfId="0" applyNumberFormat="1" applyFont="1" applyBorder="1" applyAlignment="1">
      <alignment horizontal="center" vertical="center"/>
    </xf>
    <xf numFmtId="0" fontId="17" fillId="0" borderId="9" xfId="0" applyFont="1" applyBorder="1"/>
    <xf numFmtId="0" fontId="0" fillId="0" borderId="23" xfId="0" applyBorder="1"/>
    <xf numFmtId="0" fontId="25" fillId="0" borderId="23" xfId="0" applyFont="1" applyBorder="1"/>
    <xf numFmtId="2" fontId="25" fillId="0" borderId="23" xfId="0" applyNumberFormat="1" applyFont="1" applyBorder="1" applyAlignment="1">
      <alignment horizontal="center" vertical="center"/>
    </xf>
    <xf numFmtId="167" fontId="25" fillId="0" borderId="23" xfId="0" applyNumberFormat="1" applyFont="1" applyBorder="1" applyAlignment="1">
      <alignment horizontal="center" vertical="center"/>
    </xf>
    <xf numFmtId="167" fontId="0" fillId="0" borderId="0" xfId="0" applyNumberFormat="1"/>
    <xf numFmtId="0" fontId="25" fillId="0" borderId="19" xfId="0" applyFont="1" applyBorder="1"/>
    <xf numFmtId="167" fontId="25" fillId="0" borderId="19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68" fontId="26" fillId="0" borderId="0" xfId="0" applyNumberFormat="1" applyFont="1" applyAlignment="1">
      <alignment horizontal="center" vertical="center"/>
    </xf>
    <xf numFmtId="9" fontId="17" fillId="0" borderId="7" xfId="1" applyFont="1" applyBorder="1" applyAlignment="1">
      <alignment horizontal="center" vertical="center"/>
    </xf>
    <xf numFmtId="165" fontId="17" fillId="0" borderId="8" xfId="0" applyNumberFormat="1" applyFont="1" applyBorder="1" applyAlignment="1">
      <alignment horizontal="center" vertical="center"/>
    </xf>
    <xf numFmtId="0" fontId="16" fillId="0" borderId="0" xfId="0" applyFont="1"/>
    <xf numFmtId="9" fontId="16" fillId="0" borderId="0" xfId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9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/>
      <protection hidden="1"/>
    </xf>
    <xf numFmtId="164" fontId="30" fillId="2" borderId="0" xfId="0" applyNumberFormat="1" applyFont="1" applyFill="1" applyAlignment="1" applyProtection="1">
      <alignment horizontal="left"/>
      <protection hidden="1"/>
    </xf>
    <xf numFmtId="164" fontId="30" fillId="3" borderId="0" xfId="0" applyNumberFormat="1" applyFont="1" applyFill="1" applyAlignment="1" applyProtection="1">
      <alignment horizontal="left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32" fillId="0" borderId="0" xfId="0" applyFont="1" applyAlignment="1" applyProtection="1">
      <alignment vertical="top"/>
      <protection hidden="1"/>
    </xf>
    <xf numFmtId="0" fontId="33" fillId="0" borderId="0" xfId="0" applyFont="1" applyAlignment="1" applyProtection="1">
      <protection hidden="1"/>
    </xf>
    <xf numFmtId="0" fontId="34" fillId="0" borderId="0" xfId="0" applyFont="1" applyAlignment="1" applyProtection="1">
      <alignment horizontal="left" vertical="top" wrapText="1"/>
      <protection hidden="1"/>
    </xf>
    <xf numFmtId="0" fontId="32" fillId="0" borderId="0" xfId="0" applyFont="1" applyAlignment="1" applyProtection="1">
      <alignment horizontal="left" vertical="top"/>
      <protection hidden="1"/>
    </xf>
    <xf numFmtId="14" fontId="32" fillId="0" borderId="0" xfId="0" applyNumberFormat="1" applyFont="1" applyAlignment="1" applyProtection="1">
      <alignment horizontal="left" vertical="top"/>
      <protection hidden="1"/>
    </xf>
    <xf numFmtId="0" fontId="35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42" fillId="4" borderId="30" xfId="0" applyFont="1" applyFill="1" applyBorder="1" applyAlignment="1" applyProtection="1">
      <alignment horizontal="left" vertical="center"/>
      <protection hidden="1"/>
    </xf>
    <xf numFmtId="0" fontId="42" fillId="4" borderId="31" xfId="0" applyFont="1" applyFill="1" applyBorder="1" applyAlignment="1" applyProtection="1">
      <alignment horizontal="center" vertical="center"/>
      <protection hidden="1"/>
    </xf>
    <xf numFmtId="0" fontId="42" fillId="4" borderId="32" xfId="0" applyFont="1" applyFill="1" applyBorder="1" applyAlignment="1" applyProtection="1">
      <alignment horizontal="center" vertical="center"/>
      <protection hidden="1"/>
    </xf>
    <xf numFmtId="0" fontId="41" fillId="0" borderId="35" xfId="0" applyFont="1" applyBorder="1" applyAlignment="1" applyProtection="1">
      <alignment horizontal="left" vertical="center"/>
      <protection hidden="1"/>
    </xf>
    <xf numFmtId="0" fontId="41" fillId="0" borderId="1" xfId="0" applyFont="1" applyBorder="1" applyAlignment="1" applyProtection="1">
      <alignment horizontal="center" vertical="center"/>
      <protection hidden="1"/>
    </xf>
    <xf numFmtId="9" fontId="41" fillId="0" borderId="36" xfId="1" applyFont="1" applyBorder="1" applyAlignment="1" applyProtection="1">
      <alignment horizontal="center" vertical="center"/>
      <protection hidden="1"/>
    </xf>
    <xf numFmtId="0" fontId="41" fillId="0" borderId="27" xfId="0" applyFont="1" applyBorder="1" applyAlignment="1" applyProtection="1">
      <alignment horizontal="left" vertical="center"/>
      <protection hidden="1"/>
    </xf>
    <xf numFmtId="0" fontId="41" fillId="0" borderId="33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40" fillId="12" borderId="30" xfId="0" applyFont="1" applyFill="1" applyBorder="1" applyAlignment="1" applyProtection="1">
      <alignment horizontal="left" vertical="center"/>
      <protection hidden="1"/>
    </xf>
    <xf numFmtId="0" fontId="40" fillId="12" borderId="31" xfId="0" applyFont="1" applyFill="1" applyBorder="1" applyAlignment="1" applyProtection="1">
      <alignment horizontal="center" vertical="center"/>
      <protection hidden="1"/>
    </xf>
    <xf numFmtId="167" fontId="40" fillId="12" borderId="32" xfId="1" applyNumberFormat="1" applyFont="1" applyFill="1" applyBorder="1" applyAlignment="1" applyProtection="1">
      <alignment horizontal="center" vertical="center"/>
      <protection hidden="1"/>
    </xf>
    <xf numFmtId="0" fontId="40" fillId="12" borderId="27" xfId="0" applyFont="1" applyFill="1" applyBorder="1" applyAlignment="1" applyProtection="1">
      <alignment horizontal="left" vertical="center"/>
      <protection hidden="1"/>
    </xf>
    <xf numFmtId="0" fontId="40" fillId="12" borderId="33" xfId="0" applyFont="1" applyFill="1" applyBorder="1" applyAlignment="1" applyProtection="1">
      <alignment horizontal="center" vertical="center"/>
      <protection hidden="1"/>
    </xf>
    <xf numFmtId="167" fontId="40" fillId="12" borderId="34" xfId="1" applyNumberFormat="1" applyFont="1" applyFill="1" applyBorder="1" applyAlignment="1" applyProtection="1">
      <alignment horizontal="center" vertical="center"/>
      <protection hidden="1"/>
    </xf>
    <xf numFmtId="9" fontId="40" fillId="12" borderId="29" xfId="1" applyFont="1" applyFill="1" applyBorder="1" applyAlignment="1" applyProtection="1">
      <alignment horizontal="center" vertical="center"/>
      <protection hidden="1"/>
    </xf>
    <xf numFmtId="0" fontId="38" fillId="4" borderId="30" xfId="0" applyFont="1" applyFill="1" applyBorder="1" applyAlignment="1" applyProtection="1">
      <alignment horizontal="left" vertical="center"/>
      <protection hidden="1"/>
    </xf>
    <xf numFmtId="0" fontId="38" fillId="4" borderId="31" xfId="0" applyFont="1" applyFill="1" applyBorder="1" applyAlignment="1" applyProtection="1">
      <alignment horizontal="center" vertical="center"/>
      <protection hidden="1"/>
    </xf>
    <xf numFmtId="0" fontId="38" fillId="4" borderId="32" xfId="0" applyFont="1" applyFill="1" applyBorder="1" applyAlignment="1" applyProtection="1">
      <alignment horizontal="center" vertical="center"/>
      <protection hidden="1"/>
    </xf>
    <xf numFmtId="169" fontId="41" fillId="0" borderId="36" xfId="0" applyNumberFormat="1" applyFont="1" applyBorder="1" applyAlignment="1" applyProtection="1">
      <alignment horizontal="center" vertical="center"/>
      <protection hidden="1"/>
    </xf>
    <xf numFmtId="169" fontId="41" fillId="0" borderId="36" xfId="1" applyNumberFormat="1" applyFont="1" applyBorder="1" applyAlignment="1" applyProtection="1">
      <alignment horizontal="center" vertical="center"/>
      <protection hidden="1"/>
    </xf>
    <xf numFmtId="169" fontId="41" fillId="0" borderId="34" xfId="1" applyNumberFormat="1" applyFont="1" applyBorder="1" applyAlignment="1" applyProtection="1">
      <alignment horizontal="center" vertical="center"/>
      <protection hidden="1"/>
    </xf>
    <xf numFmtId="169" fontId="40" fillId="12" borderId="32" xfId="1" applyNumberFormat="1" applyFont="1" applyFill="1" applyBorder="1" applyAlignment="1" applyProtection="1">
      <alignment horizontal="center" vertical="center"/>
      <protection hidden="1"/>
    </xf>
    <xf numFmtId="169" fontId="40" fillId="12" borderId="34" xfId="1" applyNumberFormat="1" applyFont="1" applyFill="1" applyBorder="1" applyAlignment="1" applyProtection="1">
      <alignment horizontal="center" vertical="center"/>
      <protection hidden="1"/>
    </xf>
    <xf numFmtId="14" fontId="32" fillId="0" borderId="0" xfId="0" applyNumberFormat="1" applyFont="1" applyAlignment="1" applyProtection="1">
      <alignment horizontal="left" vertical="top"/>
      <protection locked="0"/>
    </xf>
    <xf numFmtId="2" fontId="41" fillId="0" borderId="36" xfId="0" applyNumberFormat="1" applyFont="1" applyBorder="1" applyAlignment="1" applyProtection="1">
      <alignment horizontal="center" vertical="center"/>
      <protection locked="0" hidden="1"/>
    </xf>
    <xf numFmtId="2" fontId="41" fillId="0" borderId="34" xfId="0" applyNumberFormat="1" applyFont="1" applyBorder="1" applyAlignment="1" applyProtection="1">
      <alignment horizontal="center" vertical="center"/>
      <protection locked="0" hidden="1"/>
    </xf>
    <xf numFmtId="0" fontId="41" fillId="0" borderId="1" xfId="0" applyFont="1" applyBorder="1" applyAlignment="1" applyProtection="1">
      <alignment horizontal="center" vertical="center"/>
      <protection locked="0" hidden="1"/>
    </xf>
    <xf numFmtId="4" fontId="41" fillId="0" borderId="36" xfId="0" applyNumberFormat="1" applyFont="1" applyBorder="1" applyAlignment="1" applyProtection="1">
      <alignment horizontal="center" vertical="center"/>
      <protection locked="0" hidden="1"/>
    </xf>
    <xf numFmtId="4" fontId="41" fillId="0" borderId="36" xfId="1" applyNumberFormat="1" applyFont="1" applyBorder="1" applyAlignment="1" applyProtection="1">
      <alignment horizontal="center" vertical="center"/>
      <protection locked="0" hidden="1"/>
    </xf>
    <xf numFmtId="4" fontId="41" fillId="0" borderId="34" xfId="1" applyNumberFormat="1" applyFont="1" applyBorder="1" applyAlignment="1" applyProtection="1">
      <alignment horizontal="center" vertical="center"/>
      <protection locked="0" hidden="1"/>
    </xf>
    <xf numFmtId="0" fontId="1" fillId="11" borderId="0" xfId="0" applyFont="1" applyFill="1" applyAlignment="1" applyProtection="1">
      <alignment horizontal="left" vertical="center"/>
      <protection hidden="1"/>
    </xf>
    <xf numFmtId="0" fontId="28" fillId="11" borderId="0" xfId="0" applyFont="1" applyFill="1" applyAlignment="1" applyProtection="1">
      <alignment horizontal="left" vertical="center"/>
      <protection hidden="1"/>
    </xf>
    <xf numFmtId="0" fontId="2" fillId="11" borderId="0" xfId="0" applyFont="1" applyFill="1" applyAlignment="1" applyProtection="1">
      <alignment horizontal="left" vertical="center"/>
      <protection hidden="1"/>
    </xf>
    <xf numFmtId="0" fontId="0" fillId="11" borderId="0" xfId="0" applyFont="1" applyFill="1" applyAlignment="1" applyProtection="1">
      <protection hidden="1"/>
    </xf>
    <xf numFmtId="0" fontId="4" fillId="11" borderId="0" xfId="0" applyFont="1" applyFill="1" applyProtection="1">
      <protection hidden="1"/>
    </xf>
    <xf numFmtId="0" fontId="6" fillId="11" borderId="0" xfId="0" applyFont="1" applyFill="1" applyAlignment="1" applyProtection="1">
      <alignment horizontal="left" vertical="center"/>
      <protection hidden="1"/>
    </xf>
    <xf numFmtId="0" fontId="29" fillId="11" borderId="0" xfId="0" applyFont="1" applyFill="1" applyAlignment="1" applyProtection="1">
      <protection hidden="1"/>
    </xf>
    <xf numFmtId="0" fontId="5" fillId="11" borderId="0" xfId="0" applyFont="1" applyFill="1" applyProtection="1">
      <protection hidden="1"/>
    </xf>
    <xf numFmtId="0" fontId="3" fillId="11" borderId="0" xfId="0" applyFont="1" applyFill="1" applyAlignment="1" applyProtection="1">
      <alignment horizontal="left" vertical="center"/>
      <protection hidden="1"/>
    </xf>
    <xf numFmtId="0" fontId="43" fillId="11" borderId="0" xfId="0" applyFont="1" applyFill="1" applyAlignment="1" applyProtection="1">
      <alignment vertical="center" wrapText="1"/>
      <protection hidden="1"/>
    </xf>
    <xf numFmtId="0" fontId="7" fillId="11" borderId="0" xfId="0" applyFont="1" applyFill="1" applyAlignment="1" applyProtection="1">
      <alignment horizontal="left" vertical="center"/>
      <protection hidden="1"/>
    </xf>
    <xf numFmtId="0" fontId="48" fillId="11" borderId="0" xfId="0" applyFont="1" applyFill="1" applyAlignment="1" applyProtection="1">
      <protection hidden="1"/>
    </xf>
    <xf numFmtId="0" fontId="45" fillId="13" borderId="37" xfId="0" applyFont="1" applyFill="1" applyBorder="1" applyAlignment="1" applyProtection="1">
      <protection hidden="1"/>
    </xf>
    <xf numFmtId="0" fontId="29" fillId="13" borderId="37" xfId="0" applyFont="1" applyFill="1" applyBorder="1" applyAlignment="1" applyProtection="1">
      <protection hidden="1"/>
    </xf>
    <xf numFmtId="0" fontId="29" fillId="11" borderId="0" xfId="0" applyFont="1" applyFill="1" applyBorder="1" applyAlignment="1" applyProtection="1">
      <protection hidden="1"/>
    </xf>
    <xf numFmtId="0" fontId="36" fillId="13" borderId="37" xfId="0" applyFont="1" applyFill="1" applyBorder="1" applyAlignment="1" applyProtection="1">
      <protection hidden="1"/>
    </xf>
    <xf numFmtId="0" fontId="36" fillId="11" borderId="0" xfId="0" applyFont="1" applyFill="1" applyBorder="1" applyAlignment="1" applyProtection="1">
      <protection hidden="1"/>
    </xf>
    <xf numFmtId="0" fontId="31" fillId="0" borderId="0" xfId="0" applyFont="1" applyAlignment="1" applyProtection="1">
      <alignment horizontal="left" vertical="center" wrapText="1"/>
      <protection hidden="1"/>
    </xf>
    <xf numFmtId="0" fontId="40" fillId="12" borderId="11" xfId="0" applyFont="1" applyFill="1" applyBorder="1" applyAlignment="1" applyProtection="1">
      <alignment horizontal="left" vertical="center"/>
      <protection hidden="1"/>
    </xf>
    <xf numFmtId="0" fontId="40" fillId="12" borderId="28" xfId="0" applyFont="1" applyFill="1" applyBorder="1" applyAlignment="1" applyProtection="1">
      <alignment horizontal="left" vertical="center"/>
      <protection hidden="1"/>
    </xf>
    <xf numFmtId="0" fontId="46" fillId="0" borderId="0" xfId="0" applyFont="1" applyBorder="1" applyAlignment="1" applyProtection="1">
      <alignment horizontal="left" vertical="center"/>
      <protection hidden="1"/>
    </xf>
    <xf numFmtId="0" fontId="47" fillId="11" borderId="0" xfId="0" applyFont="1" applyFill="1" applyAlignment="1" applyProtection="1">
      <alignment horizontal="center" vertical="center" wrapText="1"/>
      <protection hidden="1"/>
    </xf>
    <xf numFmtId="0" fontId="44" fillId="0" borderId="0" xfId="0" applyFont="1" applyBorder="1" applyAlignment="1" applyProtection="1">
      <alignment horizontal="left" vertical="center"/>
      <protection hidden="1"/>
    </xf>
    <xf numFmtId="0" fontId="43" fillId="11" borderId="0" xfId="0" applyFont="1" applyFill="1" applyAlignment="1" applyProtection="1">
      <alignment horizontal="left" vertical="center" wrapText="1"/>
      <protection hidden="1"/>
    </xf>
    <xf numFmtId="0" fontId="49" fillId="0" borderId="0" xfId="0" applyFont="1" applyAlignment="1" applyProtection="1">
      <alignment horizontal="center" vertical="center" wrapText="1"/>
      <protection hidden="1"/>
    </xf>
    <xf numFmtId="0" fontId="49" fillId="0" borderId="0" xfId="0" applyFont="1" applyAlignment="1" applyProtection="1">
      <alignment horizontal="center" vertical="center"/>
      <protection hidden="1"/>
    </xf>
    <xf numFmtId="0" fontId="45" fillId="0" borderId="37" xfId="0" applyFont="1" applyBorder="1" applyAlignment="1" applyProtection="1">
      <alignment horizontal="left" vertical="center"/>
      <protection hidden="1"/>
    </xf>
    <xf numFmtId="0" fontId="37" fillId="0" borderId="37" xfId="0" applyFont="1" applyBorder="1" applyAlignment="1" applyProtection="1">
      <alignment horizontal="left" vertical="center"/>
      <protection hidden="1"/>
    </xf>
  </cellXfs>
  <cellStyles count="3">
    <cellStyle name="Normal" xfId="0" builtinId="0"/>
    <cellStyle name="Normal 2" xfId="2" xr:uid="{6D507C42-EE84-A543-BDFD-C42E8FD84A63}"/>
    <cellStyle name="Yüzde" xfId="1" builtinId="5"/>
  </cellStyles>
  <dxfs count="0"/>
  <tableStyles count="0" defaultTableStyle="TableStyleMedium2" defaultPivotStyle="PivotStyleLight16"/>
  <colors>
    <mruColors>
      <color rgb="FFF3F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1</xdr:row>
      <xdr:rowOff>0</xdr:rowOff>
    </xdr:from>
    <xdr:to>
      <xdr:col>4</xdr:col>
      <xdr:colOff>25400</xdr:colOff>
      <xdr:row>5</xdr:row>
      <xdr:rowOff>28771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1FF6339E-481E-984D-99E9-1B36B2AD19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716" t="32964" r="6218" b="32653"/>
        <a:stretch/>
      </xdr:blipFill>
      <xdr:spPr>
        <a:xfrm>
          <a:off x="673100" y="88900"/>
          <a:ext cx="2222500" cy="790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214312</xdr:colOff>
      <xdr:row>0</xdr:row>
      <xdr:rowOff>61914</xdr:rowOff>
    </xdr:from>
    <xdr:to>
      <xdr:col>4</xdr:col>
      <xdr:colOff>23812</xdr:colOff>
      <xdr:row>5</xdr:row>
      <xdr:rowOff>3372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B2F418B2-335C-2149-9908-6400E319AB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716" t="32964" r="6218" b="32653"/>
        <a:stretch/>
      </xdr:blipFill>
      <xdr:spPr>
        <a:xfrm>
          <a:off x="674687" y="61914"/>
          <a:ext cx="2222500" cy="790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42"/>
  <sheetViews>
    <sheetView showGridLines="0" showRowColHeaders="0" tabSelected="1" zoomScale="140" zoomScaleNormal="140" workbookViewId="0">
      <selection activeCell="E19" sqref="E19"/>
    </sheetView>
  </sheetViews>
  <sheetFormatPr baseColWidth="10" defaultColWidth="14.5" defaultRowHeight="15.75" customHeight="1" x14ac:dyDescent="0.15"/>
  <cols>
    <col min="1" max="3" width="3" style="108" customWidth="1"/>
    <col min="4" max="4" width="28.6640625" style="111" customWidth="1"/>
    <col min="5" max="5" width="38" style="111" bestFit="1" customWidth="1"/>
    <col min="6" max="6" width="25.33203125" style="111" customWidth="1"/>
    <col min="7" max="7" width="12.1640625" style="108" customWidth="1"/>
    <col min="8" max="16384" width="14.5" style="108"/>
  </cols>
  <sheetData>
    <row r="1" spans="1:7" ht="7.5" customHeight="1" x14ac:dyDescent="0.15">
      <c r="A1" s="105"/>
      <c r="B1" s="105"/>
      <c r="C1" s="105"/>
      <c r="D1" s="106"/>
      <c r="E1" s="106"/>
      <c r="F1" s="106"/>
      <c r="G1" s="107"/>
    </row>
    <row r="2" spans="1:7" ht="15" customHeight="1" x14ac:dyDescent="0.15">
      <c r="A2" s="109"/>
      <c r="B2" s="109"/>
      <c r="C2" s="110"/>
      <c r="E2" s="184" t="s">
        <v>140</v>
      </c>
      <c r="F2" s="185"/>
    </row>
    <row r="3" spans="1:7" ht="15" customHeight="1" x14ac:dyDescent="0.15">
      <c r="A3" s="112"/>
      <c r="B3" s="112"/>
      <c r="C3" s="110"/>
      <c r="E3" s="185"/>
      <c r="F3" s="185"/>
    </row>
    <row r="4" spans="1:7" ht="15" customHeight="1" x14ac:dyDescent="0.15">
      <c r="A4" s="112"/>
      <c r="B4" s="112"/>
      <c r="C4" s="110"/>
      <c r="E4" s="185"/>
      <c r="F4" s="185"/>
    </row>
    <row r="5" spans="1:7" ht="15" customHeight="1" x14ac:dyDescent="0.15">
      <c r="A5" s="112"/>
      <c r="B5" s="112"/>
      <c r="C5" s="110"/>
      <c r="E5" s="185"/>
      <c r="F5" s="185"/>
    </row>
    <row r="6" spans="1:7" ht="6" customHeight="1" x14ac:dyDescent="0.2">
      <c r="A6" s="113"/>
      <c r="B6" s="113"/>
      <c r="C6" s="113"/>
      <c r="D6" s="114"/>
      <c r="E6" s="115"/>
      <c r="F6" s="115"/>
      <c r="G6" s="110"/>
    </row>
    <row r="7" spans="1:7" ht="15" customHeight="1" x14ac:dyDescent="0.15">
      <c r="A7" s="113"/>
      <c r="B7" s="113"/>
      <c r="C7" s="113"/>
      <c r="D7" s="177" t="s">
        <v>5</v>
      </c>
      <c r="E7" s="177"/>
      <c r="F7" s="177"/>
      <c r="G7" s="110"/>
    </row>
    <row r="8" spans="1:7" ht="15" customHeight="1" x14ac:dyDescent="0.15">
      <c r="A8" s="116"/>
      <c r="B8" s="116"/>
      <c r="C8" s="116"/>
      <c r="D8" s="177"/>
      <c r="E8" s="177"/>
      <c r="F8" s="177"/>
      <c r="G8" s="110"/>
    </row>
    <row r="9" spans="1:7" ht="15" customHeight="1" x14ac:dyDescent="0.15">
      <c r="A9" s="116"/>
      <c r="B9" s="116"/>
      <c r="C9" s="116"/>
      <c r="D9" s="177"/>
      <c r="E9" s="177"/>
      <c r="F9" s="177"/>
      <c r="G9" s="110"/>
    </row>
    <row r="10" spans="1:7" ht="15" customHeight="1" x14ac:dyDescent="0.15">
      <c r="A10" s="117"/>
      <c r="B10" s="117"/>
      <c r="C10" s="117"/>
      <c r="D10" s="118" t="s">
        <v>0</v>
      </c>
      <c r="E10" s="119"/>
      <c r="F10" s="119"/>
      <c r="G10" s="117"/>
    </row>
    <row r="11" spans="1:7" ht="15" customHeight="1" x14ac:dyDescent="0.15">
      <c r="A11" s="113"/>
      <c r="B11" s="113"/>
      <c r="C11" s="113"/>
      <c r="D11" s="120"/>
      <c r="E11" s="120"/>
      <c r="F11" s="120"/>
      <c r="G11" s="113"/>
    </row>
    <row r="12" spans="1:7" ht="15" customHeight="1" x14ac:dyDescent="0.15">
      <c r="A12" s="113"/>
      <c r="B12" s="113"/>
      <c r="C12" s="113"/>
      <c r="D12" s="121" t="s">
        <v>109</v>
      </c>
      <c r="E12" s="122"/>
      <c r="F12" s="123"/>
      <c r="G12" s="113"/>
    </row>
    <row r="13" spans="1:7" ht="15" customHeight="1" x14ac:dyDescent="0.15">
      <c r="A13" s="113"/>
      <c r="B13" s="113"/>
      <c r="C13" s="113"/>
      <c r="D13" s="153">
        <f ca="1">TODAY()</f>
        <v>44539</v>
      </c>
      <c r="E13" s="123"/>
      <c r="F13" s="123"/>
      <c r="G13" s="113"/>
    </row>
    <row r="14" spans="1:7" ht="15" customHeight="1" x14ac:dyDescent="0.15">
      <c r="A14" s="113"/>
      <c r="B14" s="113"/>
      <c r="C14" s="113"/>
      <c r="D14" s="122"/>
      <c r="E14" s="123"/>
      <c r="F14" s="123"/>
      <c r="G14" s="113"/>
    </row>
    <row r="15" spans="1:7" ht="15" customHeight="1" thickBot="1" x14ac:dyDescent="0.2">
      <c r="A15" s="117"/>
      <c r="B15" s="117"/>
      <c r="C15" s="117"/>
      <c r="D15" s="186" t="s">
        <v>1</v>
      </c>
      <c r="E15" s="187"/>
      <c r="F15" s="187"/>
      <c r="G15" s="117"/>
    </row>
    <row r="16" spans="1:7" ht="15" customHeight="1" thickTop="1" thickBot="1" x14ac:dyDescent="0.2">
      <c r="A16" s="117"/>
      <c r="B16" s="117"/>
      <c r="C16" s="124"/>
      <c r="D16" s="125"/>
      <c r="E16" s="125"/>
      <c r="F16" s="125"/>
      <c r="G16" s="124"/>
    </row>
    <row r="17" spans="1:7" ht="30" customHeight="1" x14ac:dyDescent="0.15">
      <c r="A17" s="126"/>
      <c r="B17" s="126"/>
      <c r="C17" s="124"/>
      <c r="D17" s="127" t="s">
        <v>2</v>
      </c>
      <c r="E17" s="128" t="s">
        <v>3</v>
      </c>
      <c r="F17" s="129" t="s">
        <v>4</v>
      </c>
      <c r="G17" s="124"/>
    </row>
    <row r="18" spans="1:7" ht="22.5" customHeight="1" x14ac:dyDescent="0.15">
      <c r="A18" s="126"/>
      <c r="B18" s="126"/>
      <c r="C18" s="124"/>
      <c r="D18" s="130" t="s">
        <v>6</v>
      </c>
      <c r="E18" s="131" t="s">
        <v>9</v>
      </c>
      <c r="F18" s="154">
        <v>5.5</v>
      </c>
      <c r="G18" s="124"/>
    </row>
    <row r="19" spans="1:7" ht="22.5" customHeight="1" x14ac:dyDescent="0.15">
      <c r="A19" s="126"/>
      <c r="B19" s="126"/>
      <c r="C19" s="124"/>
      <c r="D19" s="130" t="s">
        <v>7</v>
      </c>
      <c r="E19" s="156" t="s">
        <v>63</v>
      </c>
      <c r="F19" s="132">
        <f>VLOOKUP(E19,'Komisyon Non-Apperal'!B:D,2,FALSE)</f>
        <v>0.15</v>
      </c>
      <c r="G19" s="124"/>
    </row>
    <row r="20" spans="1:7" ht="22.5" customHeight="1" thickBot="1" x14ac:dyDescent="0.2">
      <c r="A20" s="126"/>
      <c r="B20" s="126"/>
      <c r="C20" s="124"/>
      <c r="D20" s="133" t="s">
        <v>8</v>
      </c>
      <c r="E20" s="134" t="s">
        <v>9</v>
      </c>
      <c r="F20" s="155">
        <v>29.99</v>
      </c>
      <c r="G20" s="124"/>
    </row>
    <row r="21" spans="1:7" ht="15" customHeight="1" x14ac:dyDescent="0.15">
      <c r="A21" s="135"/>
      <c r="B21" s="135"/>
      <c r="C21" s="124"/>
      <c r="D21" s="125"/>
      <c r="E21" s="125"/>
      <c r="F21" s="125"/>
      <c r="G21" s="124"/>
    </row>
    <row r="22" spans="1:7" ht="15" customHeight="1" x14ac:dyDescent="0.15">
      <c r="A22" s="124"/>
      <c r="B22" s="124"/>
      <c r="C22" s="124"/>
      <c r="D22" s="136"/>
      <c r="E22" s="125"/>
      <c r="F22" s="125"/>
      <c r="G22" s="124"/>
    </row>
    <row r="23" spans="1:7" ht="15" customHeight="1" thickBot="1" x14ac:dyDescent="0.2">
      <c r="A23" s="124"/>
      <c r="B23" s="124"/>
      <c r="C23" s="124"/>
      <c r="D23" s="186" t="s">
        <v>93</v>
      </c>
      <c r="E23" s="187"/>
      <c r="F23" s="187"/>
      <c r="G23" s="124"/>
    </row>
    <row r="24" spans="1:7" ht="15" customHeight="1" thickTop="1" thickBot="1" x14ac:dyDescent="0.2">
      <c r="A24" s="124"/>
      <c r="B24" s="124"/>
      <c r="C24" s="124"/>
      <c r="D24" s="125"/>
      <c r="E24" s="125"/>
      <c r="F24" s="125"/>
      <c r="G24" s="124"/>
    </row>
    <row r="25" spans="1:7" ht="30" customHeight="1" x14ac:dyDescent="0.15">
      <c r="A25" s="124"/>
      <c r="B25" s="124"/>
      <c r="C25" s="124"/>
      <c r="D25" s="127" t="s">
        <v>2</v>
      </c>
      <c r="E25" s="128" t="s">
        <v>3</v>
      </c>
      <c r="F25" s="129" t="s">
        <v>4</v>
      </c>
      <c r="G25" s="124"/>
    </row>
    <row r="26" spans="1:7" ht="22.5" customHeight="1" x14ac:dyDescent="0.15">
      <c r="A26" s="137"/>
      <c r="B26" s="137"/>
      <c r="C26" s="137"/>
      <c r="D26" s="130" t="s">
        <v>94</v>
      </c>
      <c r="E26" s="131" t="s">
        <v>98</v>
      </c>
      <c r="F26" s="157">
        <v>0.42</v>
      </c>
      <c r="G26" s="137"/>
    </row>
    <row r="27" spans="1:7" ht="22.5" customHeight="1" x14ac:dyDescent="0.15">
      <c r="A27" s="124"/>
      <c r="B27" s="124"/>
      <c r="C27" s="117"/>
      <c r="D27" s="130" t="s">
        <v>16</v>
      </c>
      <c r="E27" s="131" t="s">
        <v>98</v>
      </c>
      <c r="F27" s="158">
        <v>0.28000000000000003</v>
      </c>
      <c r="G27" s="124"/>
    </row>
    <row r="28" spans="1:7" ht="22.5" customHeight="1" x14ac:dyDescent="0.15">
      <c r="A28" s="124"/>
      <c r="B28" s="124"/>
      <c r="C28" s="117"/>
      <c r="D28" s="130" t="s">
        <v>95</v>
      </c>
      <c r="E28" s="131" t="s">
        <v>98</v>
      </c>
      <c r="F28" s="158">
        <v>0.13</v>
      </c>
      <c r="G28" s="124"/>
    </row>
    <row r="29" spans="1:7" ht="22.5" customHeight="1" thickBot="1" x14ac:dyDescent="0.2">
      <c r="A29" s="124"/>
      <c r="B29" s="124"/>
      <c r="C29" s="117"/>
      <c r="D29" s="133" t="s">
        <v>96</v>
      </c>
      <c r="E29" s="134" t="s">
        <v>99</v>
      </c>
      <c r="F29" s="159">
        <v>1125</v>
      </c>
      <c r="G29" s="124"/>
    </row>
    <row r="30" spans="1:7" ht="22.5" customHeight="1" x14ac:dyDescent="0.15">
      <c r="A30" s="124"/>
      <c r="B30" s="124"/>
      <c r="C30" s="117"/>
      <c r="D30" s="138" t="s">
        <v>97</v>
      </c>
      <c r="E30" s="139" t="s">
        <v>100</v>
      </c>
      <c r="F30" s="140">
        <f>F26*F27*F28</f>
        <v>1.5288000000000001E-2</v>
      </c>
      <c r="G30" s="124"/>
    </row>
    <row r="31" spans="1:7" ht="22.5" customHeight="1" thickBot="1" x14ac:dyDescent="0.2">
      <c r="A31" s="124"/>
      <c r="B31" s="124"/>
      <c r="C31" s="117"/>
      <c r="D31" s="141" t="s">
        <v>97</v>
      </c>
      <c r="E31" s="142" t="s">
        <v>101</v>
      </c>
      <c r="F31" s="143">
        <f>+CONVERT(F26,"m","ft")*CONVERT(F27,"m","ft")*CONVERT(F28,"m","ft")</f>
        <v>0.53989062483811767</v>
      </c>
      <c r="G31" s="124"/>
    </row>
    <row r="32" spans="1:7" ht="22.5" customHeight="1" thickBot="1" x14ac:dyDescent="0.2">
      <c r="A32" s="126"/>
      <c r="B32" s="126"/>
      <c r="C32" s="124"/>
      <c r="D32" s="178" t="s">
        <v>46</v>
      </c>
      <c r="E32" s="179"/>
      <c r="F32" s="144" t="str">
        <f>'Komisyon Non-Apperal'!G30</f>
        <v>Large standard-size</v>
      </c>
      <c r="G32" s="124"/>
    </row>
    <row r="35" spans="1:7" ht="15.75" customHeight="1" thickBot="1" x14ac:dyDescent="0.2">
      <c r="D35" s="186" t="s">
        <v>102</v>
      </c>
      <c r="E35" s="187"/>
      <c r="F35" s="187"/>
    </row>
    <row r="36" spans="1:7" ht="15.75" customHeight="1" thickTop="1" thickBot="1" x14ac:dyDescent="0.2">
      <c r="D36" s="125"/>
      <c r="E36" s="125"/>
      <c r="F36" s="125"/>
    </row>
    <row r="37" spans="1:7" ht="30" customHeight="1" x14ac:dyDescent="0.15">
      <c r="A37" s="124"/>
      <c r="B37" s="124"/>
      <c r="C37" s="124"/>
      <c r="D37" s="145" t="s">
        <v>2</v>
      </c>
      <c r="E37" s="146" t="s">
        <v>3</v>
      </c>
      <c r="F37" s="147" t="s">
        <v>4</v>
      </c>
      <c r="G37" s="124"/>
    </row>
    <row r="38" spans="1:7" ht="22.5" customHeight="1" x14ac:dyDescent="0.15">
      <c r="A38" s="137"/>
      <c r="B38" s="137"/>
      <c r="C38" s="137"/>
      <c r="D38" s="130" t="s">
        <v>103</v>
      </c>
      <c r="E38" s="131" t="s">
        <v>107</v>
      </c>
      <c r="F38" s="148">
        <f>F20*F19</f>
        <v>4.4984999999999999</v>
      </c>
      <c r="G38" s="137"/>
    </row>
    <row r="39" spans="1:7" ht="22.5" customHeight="1" x14ac:dyDescent="0.15">
      <c r="A39" s="124"/>
      <c r="B39" s="124"/>
      <c r="C39" s="117"/>
      <c r="D39" s="130" t="s">
        <v>104</v>
      </c>
      <c r="E39" s="131" t="s">
        <v>107</v>
      </c>
      <c r="F39" s="149">
        <f>IF(E19='Komisyon Non-Apperal'!B13,MAX('Komisyon Apperal'!H30:H31),MAX('Komisyon Non-Apperal'!H30:H31))</f>
        <v>6.88</v>
      </c>
      <c r="G39" s="124"/>
    </row>
    <row r="40" spans="1:7" ht="22.5" customHeight="1" thickBot="1" x14ac:dyDescent="0.2">
      <c r="A40" s="124"/>
      <c r="B40" s="124"/>
      <c r="C40" s="117"/>
      <c r="D40" s="133" t="s">
        <v>105</v>
      </c>
      <c r="E40" s="134" t="s">
        <v>108</v>
      </c>
      <c r="F40" s="150">
        <f ca="1">+IF(MONTH(D13)&lt;10,'Komisyon Non-Apperal'!H33,'Komisyon Non-Apperal'!H34)</f>
        <v>1.2957374996114821</v>
      </c>
      <c r="G40" s="124"/>
    </row>
    <row r="41" spans="1:7" ht="22.5" customHeight="1" x14ac:dyDescent="0.15">
      <c r="A41" s="124"/>
      <c r="B41" s="124"/>
      <c r="C41" s="117"/>
      <c r="D41" s="138" t="s">
        <v>106</v>
      </c>
      <c r="E41" s="139" t="s">
        <v>107</v>
      </c>
      <c r="F41" s="151">
        <f ca="1">SUM(F38:F40)</f>
        <v>12.674237499611481</v>
      </c>
      <c r="G41" s="124"/>
    </row>
    <row r="42" spans="1:7" ht="22.5" customHeight="1" thickBot="1" x14ac:dyDescent="0.2">
      <c r="A42" s="124"/>
      <c r="B42" s="124"/>
      <c r="C42" s="117"/>
      <c r="D42" s="141" t="s">
        <v>110</v>
      </c>
      <c r="E42" s="142" t="s">
        <v>107</v>
      </c>
      <c r="F42" s="152">
        <f ca="1">F20-F41</f>
        <v>17.315762500388516</v>
      </c>
      <c r="G42" s="124"/>
    </row>
  </sheetData>
  <sheetProtection algorithmName="SHA-512" hashValue="DwQHGEKhlzmGyGP6EAmpn36F0GUkqzh6pYTewvanwuUu9DiWmMnoVTiK6VqkdCZIos5ECXjfe3xvGzPrGpdoqA==" saltValue="BNrpTDN1YonyvSGw/mGgGA==" spinCount="100000" sheet="1" objects="1" scenarios="1" selectLockedCells="1"/>
  <mergeCells count="3">
    <mergeCell ref="D7:F9"/>
    <mergeCell ref="D32:E32"/>
    <mergeCell ref="E2:F5"/>
  </mergeCells>
  <pageMargins left="0.7" right="0.7" top="0.75" bottom="0.75" header="0.3" footer="0.3"/>
  <ignoredErrors>
    <ignoredError sqref="D13" unlockedFormula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7F70E5-9478-0C43-878C-8892037E8D44}">
          <x14:formula1>
            <xm:f>'Komisyon Non-Apperal'!$B$3:$B$47</xm:f>
          </x14:formula1>
          <xm:sqref>E19 E27 E30 E39 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20ADD-1F55-0D4E-A70A-6E94AD22F462}">
  <dimension ref="A1:G53"/>
  <sheetViews>
    <sheetView showRowColHeaders="0" zoomScale="140" zoomScaleNormal="140" workbookViewId="0">
      <selection activeCell="D47" sqref="D47:E47"/>
    </sheetView>
  </sheetViews>
  <sheetFormatPr baseColWidth="10" defaultColWidth="14.5" defaultRowHeight="15.75" customHeight="1" x14ac:dyDescent="0.15"/>
  <cols>
    <col min="1" max="3" width="3" style="163" customWidth="1"/>
    <col min="4" max="4" width="28.6640625" style="166" customWidth="1"/>
    <col min="5" max="5" width="38" style="166" bestFit="1" customWidth="1"/>
    <col min="6" max="6" width="25.33203125" style="166" customWidth="1"/>
    <col min="7" max="7" width="12.1640625" style="163" customWidth="1"/>
    <col min="8" max="16384" width="14.5" style="163"/>
  </cols>
  <sheetData>
    <row r="1" spans="1:7" ht="7.5" customHeight="1" x14ac:dyDescent="0.15">
      <c r="A1" s="160"/>
      <c r="B1" s="160"/>
      <c r="C1" s="160"/>
      <c r="D1" s="161"/>
      <c r="E1" s="161"/>
      <c r="F1" s="161"/>
      <c r="G1" s="162"/>
    </row>
    <row r="2" spans="1:7" ht="15" customHeight="1" x14ac:dyDescent="0.15">
      <c r="A2" s="164"/>
      <c r="B2" s="164"/>
      <c r="C2" s="165"/>
      <c r="E2" s="181" t="s">
        <v>140</v>
      </c>
    </row>
    <row r="3" spans="1:7" ht="15" customHeight="1" x14ac:dyDescent="0.15">
      <c r="A3" s="167"/>
      <c r="B3" s="167"/>
      <c r="C3" s="165"/>
      <c r="E3" s="181"/>
    </row>
    <row r="4" spans="1:7" ht="15" customHeight="1" x14ac:dyDescent="0.15">
      <c r="A4" s="167"/>
      <c r="B4" s="167"/>
      <c r="C4" s="165"/>
      <c r="E4" s="181"/>
    </row>
    <row r="5" spans="1:7" ht="15" customHeight="1" x14ac:dyDescent="0.15">
      <c r="A5" s="167"/>
      <c r="B5" s="167"/>
      <c r="C5" s="165"/>
      <c r="E5" s="181"/>
    </row>
    <row r="6" spans="1:7" ht="7" customHeight="1" x14ac:dyDescent="0.2">
      <c r="D6" s="114"/>
      <c r="E6" s="115"/>
    </row>
    <row r="7" spans="1:7" ht="15" customHeight="1" x14ac:dyDescent="0.15">
      <c r="A7" s="168"/>
      <c r="B7" s="168"/>
      <c r="C7" s="168"/>
      <c r="D7" s="183" t="s">
        <v>0</v>
      </c>
      <c r="E7" s="183"/>
      <c r="F7" s="169"/>
      <c r="G7" s="165"/>
    </row>
    <row r="8" spans="1:7" ht="15" customHeight="1" x14ac:dyDescent="0.15">
      <c r="A8" s="170"/>
      <c r="B8" s="170"/>
      <c r="C8" s="170"/>
      <c r="D8" s="183"/>
      <c r="E8" s="183"/>
      <c r="F8" s="169"/>
      <c r="G8" s="165"/>
    </row>
    <row r="9" spans="1:7" ht="15" customHeight="1" x14ac:dyDescent="0.15">
      <c r="A9" s="170"/>
      <c r="B9" s="170"/>
      <c r="C9" s="170"/>
      <c r="D9" s="183"/>
      <c r="E9" s="183"/>
      <c r="F9" s="169"/>
      <c r="G9" s="165"/>
    </row>
    <row r="10" spans="1:7" ht="15.75" customHeight="1" x14ac:dyDescent="0.15">
      <c r="D10" s="171" t="s">
        <v>141</v>
      </c>
    </row>
    <row r="11" spans="1:7" ht="7" customHeight="1" x14ac:dyDescent="0.2">
      <c r="D11" s="114"/>
      <c r="E11" s="115"/>
    </row>
    <row r="12" spans="1:7" ht="15.75" customHeight="1" thickBot="1" x14ac:dyDescent="0.2">
      <c r="D12" s="172" t="s">
        <v>132</v>
      </c>
      <c r="E12" s="173"/>
      <c r="F12" s="174"/>
    </row>
    <row r="13" spans="1:7" ht="15.75" customHeight="1" thickTop="1" x14ac:dyDescent="0.15">
      <c r="D13" s="180" t="s">
        <v>111</v>
      </c>
      <c r="E13" s="180"/>
      <c r="F13" s="174"/>
    </row>
    <row r="14" spans="1:7" ht="15.75" customHeight="1" x14ac:dyDescent="0.15">
      <c r="D14" s="180" t="s">
        <v>112</v>
      </c>
      <c r="E14" s="180"/>
    </row>
    <row r="15" spans="1:7" ht="15.75" customHeight="1" x14ac:dyDescent="0.15">
      <c r="D15" s="182"/>
      <c r="E15" s="182"/>
    </row>
    <row r="16" spans="1:7" ht="15.75" customHeight="1" x14ac:dyDescent="0.15">
      <c r="D16" s="174"/>
      <c r="E16" s="174"/>
    </row>
    <row r="17" spans="4:5" ht="15.75" customHeight="1" thickBot="1" x14ac:dyDescent="0.2">
      <c r="D17" s="172" t="s">
        <v>133</v>
      </c>
      <c r="E17" s="173"/>
    </row>
    <row r="18" spans="4:5" ht="15.75" customHeight="1" thickTop="1" x14ac:dyDescent="0.15">
      <c r="D18" s="180" t="s">
        <v>134</v>
      </c>
      <c r="E18" s="180"/>
    </row>
    <row r="19" spans="4:5" ht="15.75" customHeight="1" x14ac:dyDescent="0.15">
      <c r="D19" s="180" t="s">
        <v>113</v>
      </c>
      <c r="E19" s="180"/>
    </row>
    <row r="20" spans="4:5" ht="15.75" customHeight="1" x14ac:dyDescent="0.15">
      <c r="D20" s="180" t="s">
        <v>114</v>
      </c>
      <c r="E20" s="180"/>
    </row>
    <row r="21" spans="4:5" ht="15.75" customHeight="1" x14ac:dyDescent="0.15">
      <c r="D21" s="180" t="s">
        <v>115</v>
      </c>
      <c r="E21" s="180"/>
    </row>
    <row r="22" spans="4:5" ht="15.75" customHeight="1" x14ac:dyDescent="0.15">
      <c r="D22" s="180" t="s">
        <v>116</v>
      </c>
      <c r="E22" s="180"/>
    </row>
    <row r="23" spans="4:5" ht="15.75" customHeight="1" x14ac:dyDescent="0.15">
      <c r="D23" s="180" t="s">
        <v>117</v>
      </c>
      <c r="E23" s="180"/>
    </row>
    <row r="24" spans="4:5" ht="15.75" customHeight="1" x14ac:dyDescent="0.15">
      <c r="D24" s="180"/>
      <c r="E24" s="180"/>
    </row>
    <row r="25" spans="4:5" ht="15.75" customHeight="1" x14ac:dyDescent="0.15">
      <c r="D25" s="174"/>
      <c r="E25" s="174"/>
    </row>
    <row r="26" spans="4:5" ht="15.75" customHeight="1" thickBot="1" x14ac:dyDescent="0.2">
      <c r="D26" s="172" t="s">
        <v>135</v>
      </c>
      <c r="E26" s="175"/>
    </row>
    <row r="27" spans="4:5" ht="15.75" customHeight="1" thickTop="1" x14ac:dyDescent="0.15">
      <c r="D27" s="180" t="s">
        <v>118</v>
      </c>
      <c r="E27" s="180"/>
    </row>
    <row r="28" spans="4:5" ht="15.75" customHeight="1" x14ac:dyDescent="0.15">
      <c r="D28" s="180" t="s">
        <v>119</v>
      </c>
      <c r="E28" s="180"/>
    </row>
    <row r="29" spans="4:5" ht="15.75" customHeight="1" x14ac:dyDescent="0.15">
      <c r="D29" s="180" t="s">
        <v>120</v>
      </c>
      <c r="E29" s="180"/>
    </row>
    <row r="30" spans="4:5" ht="15.75" customHeight="1" x14ac:dyDescent="0.15">
      <c r="D30" s="180"/>
      <c r="E30" s="180"/>
    </row>
    <row r="31" spans="4:5" ht="15.75" customHeight="1" x14ac:dyDescent="0.15">
      <c r="D31" s="174"/>
      <c r="E31" s="174"/>
    </row>
    <row r="32" spans="4:5" ht="15.75" customHeight="1" thickBot="1" x14ac:dyDescent="0.2">
      <c r="D32" s="172" t="s">
        <v>136</v>
      </c>
      <c r="E32" s="175"/>
    </row>
    <row r="33" spans="4:6" ht="15.75" customHeight="1" thickTop="1" x14ac:dyDescent="0.15">
      <c r="D33" s="180" t="s">
        <v>121</v>
      </c>
      <c r="E33" s="180"/>
    </row>
    <row r="34" spans="4:6" ht="15.75" customHeight="1" x14ac:dyDescent="0.15">
      <c r="D34" s="180" t="s">
        <v>122</v>
      </c>
      <c r="E34" s="180"/>
    </row>
    <row r="35" spans="4:6" ht="15.75" customHeight="1" x14ac:dyDescent="0.15">
      <c r="D35" s="180" t="s">
        <v>123</v>
      </c>
      <c r="E35" s="180"/>
    </row>
    <row r="36" spans="4:6" ht="15.75" customHeight="1" x14ac:dyDescent="0.15">
      <c r="D36" s="180" t="s">
        <v>124</v>
      </c>
      <c r="E36" s="180"/>
    </row>
    <row r="37" spans="4:6" ht="15.75" customHeight="1" x14ac:dyDescent="0.15">
      <c r="D37" s="180" t="s">
        <v>125</v>
      </c>
      <c r="E37" s="180"/>
    </row>
    <row r="38" spans="4:6" ht="15.75" customHeight="1" x14ac:dyDescent="0.15">
      <c r="D38" s="180"/>
      <c r="E38" s="180"/>
    </row>
    <row r="39" spans="4:6" ht="15.75" customHeight="1" x14ac:dyDescent="0.15">
      <c r="D39" s="174"/>
      <c r="E39" s="174"/>
    </row>
    <row r="40" spans="4:6" ht="15.75" customHeight="1" thickBot="1" x14ac:dyDescent="0.2">
      <c r="D40" s="172" t="s">
        <v>137</v>
      </c>
      <c r="E40" s="175"/>
    </row>
    <row r="41" spans="4:6" ht="15.75" customHeight="1" thickTop="1" x14ac:dyDescent="0.15">
      <c r="D41" s="176"/>
      <c r="E41" s="176"/>
    </row>
    <row r="42" spans="4:6" ht="15.75" customHeight="1" x14ac:dyDescent="0.15">
      <c r="D42" s="163"/>
      <c r="E42" s="163"/>
      <c r="F42" s="163"/>
    </row>
    <row r="43" spans="4:6" ht="15.75" customHeight="1" thickBot="1" x14ac:dyDescent="0.2">
      <c r="D43" s="172" t="s">
        <v>138</v>
      </c>
      <c r="E43" s="175"/>
    </row>
    <row r="44" spans="4:6" ht="15.75" customHeight="1" thickTop="1" x14ac:dyDescent="0.15">
      <c r="D44" s="174"/>
      <c r="E44" s="174"/>
    </row>
    <row r="45" spans="4:6" ht="15.75" customHeight="1" x14ac:dyDescent="0.15">
      <c r="D45" s="174"/>
      <c r="E45" s="174"/>
    </row>
    <row r="46" spans="4:6" ht="15.75" customHeight="1" thickBot="1" x14ac:dyDescent="0.2">
      <c r="D46" s="172" t="s">
        <v>139</v>
      </c>
      <c r="E46" s="175"/>
    </row>
    <row r="47" spans="4:6" ht="15.75" customHeight="1" thickTop="1" x14ac:dyDescent="0.15">
      <c r="D47" s="180" t="s">
        <v>126</v>
      </c>
      <c r="E47" s="180"/>
    </row>
    <row r="48" spans="4:6" ht="15.75" customHeight="1" x14ac:dyDescent="0.15">
      <c r="D48" s="180" t="s">
        <v>127</v>
      </c>
      <c r="E48" s="180"/>
    </row>
    <row r="49" spans="4:5" ht="15.75" customHeight="1" x14ac:dyDescent="0.15">
      <c r="D49" s="180" t="s">
        <v>128</v>
      </c>
      <c r="E49" s="180"/>
    </row>
    <row r="50" spans="4:5" ht="15.75" customHeight="1" x14ac:dyDescent="0.15">
      <c r="D50" s="180" t="s">
        <v>129</v>
      </c>
      <c r="E50" s="180"/>
    </row>
    <row r="51" spans="4:5" ht="15.75" customHeight="1" x14ac:dyDescent="0.15">
      <c r="D51" s="180" t="s">
        <v>130</v>
      </c>
      <c r="E51" s="180"/>
    </row>
    <row r="52" spans="4:5" ht="15.75" customHeight="1" x14ac:dyDescent="0.15">
      <c r="D52" s="180" t="s">
        <v>131</v>
      </c>
      <c r="E52" s="180"/>
    </row>
    <row r="53" spans="4:5" ht="15.75" customHeight="1" x14ac:dyDescent="0.15">
      <c r="D53" s="180"/>
      <c r="E53" s="180"/>
    </row>
  </sheetData>
  <sheetProtection algorithmName="SHA-512" hashValue="HzmcL5kkkE4syLunp7MRvEVtVckhNVOLNUIA93Of0WHAI/80+OUKm1K08L0RO9R0aDegEu1iydnm8N8QIlCHPw==" saltValue="Aki/oSlR/3iaAwPAGPCXRQ==" spinCount="100000" sheet="1" objects="1" scenarios="1" selectLockedCells="1" selectUnlockedCells="1"/>
  <mergeCells count="29">
    <mergeCell ref="D21:E21"/>
    <mergeCell ref="D22:E22"/>
    <mergeCell ref="D13:E13"/>
    <mergeCell ref="D14:E14"/>
    <mergeCell ref="D18:E18"/>
    <mergeCell ref="D19:E19"/>
    <mergeCell ref="D20:E20"/>
    <mergeCell ref="D38:E38"/>
    <mergeCell ref="D23:E23"/>
    <mergeCell ref="D27:E27"/>
    <mergeCell ref="D28:E28"/>
    <mergeCell ref="D29:E29"/>
    <mergeCell ref="D33:E33"/>
    <mergeCell ref="D53:E53"/>
    <mergeCell ref="E2:E5"/>
    <mergeCell ref="D51:E51"/>
    <mergeCell ref="D52:E52"/>
    <mergeCell ref="D15:E15"/>
    <mergeCell ref="D7:E9"/>
    <mergeCell ref="D24:E24"/>
    <mergeCell ref="D30:E30"/>
    <mergeCell ref="D47:E47"/>
    <mergeCell ref="D48:E48"/>
    <mergeCell ref="D49:E49"/>
    <mergeCell ref="D50:E50"/>
    <mergeCell ref="D34:E34"/>
    <mergeCell ref="D35:E35"/>
    <mergeCell ref="D36:E36"/>
    <mergeCell ref="D37:E3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6BCE1-9A7B-9142-AA96-DFC4FF36EA44}">
  <dimension ref="A1:U47"/>
  <sheetViews>
    <sheetView topLeftCell="B9" workbookViewId="0">
      <selection activeCell="H25" sqref="H25"/>
    </sheetView>
  </sheetViews>
  <sheetFormatPr baseColWidth="10" defaultColWidth="11" defaultRowHeight="14" x14ac:dyDescent="0.15"/>
  <cols>
    <col min="1" max="1" width="3.5" style="1" customWidth="1"/>
    <col min="2" max="2" width="81.5" style="102" bestFit="1" customWidth="1"/>
    <col min="3" max="3" width="14" style="103" customWidth="1"/>
    <col min="4" max="4" width="11" style="104"/>
    <col min="5" max="6" width="11" style="5"/>
    <col min="7" max="7" width="22.6640625" style="5" bestFit="1" customWidth="1"/>
    <col min="8" max="10" width="20" style="5" customWidth="1"/>
    <col min="11" max="11" width="21" style="5" customWidth="1"/>
    <col min="12" max="17" width="20" style="5" customWidth="1"/>
    <col min="18" max="18" width="7.5" style="5" customWidth="1"/>
    <col min="19" max="19" width="42.1640625" style="5" bestFit="1" customWidth="1"/>
    <col min="20" max="20" width="36.6640625" style="5" customWidth="1"/>
    <col min="21" max="16384" width="11" style="5"/>
  </cols>
  <sheetData>
    <row r="1" spans="1:20" ht="15" thickBot="1" x14ac:dyDescent="0.2">
      <c r="B1" s="2" t="s">
        <v>10</v>
      </c>
      <c r="C1" s="3"/>
      <c r="D1" s="4"/>
    </row>
    <row r="2" spans="1:20" s="10" customFormat="1" ht="46" thickBot="1" x14ac:dyDescent="0.2">
      <c r="A2" s="6"/>
      <c r="B2" s="7" t="s">
        <v>11</v>
      </c>
      <c r="C2" s="8" t="s">
        <v>12</v>
      </c>
      <c r="D2" s="9"/>
      <c r="G2" s="11" t="s">
        <v>13</v>
      </c>
      <c r="H2" s="12" t="s">
        <v>14</v>
      </c>
      <c r="I2" s="12" t="s">
        <v>15</v>
      </c>
      <c r="J2" s="12" t="s">
        <v>16</v>
      </c>
      <c r="K2" s="12" t="s">
        <v>17</v>
      </c>
      <c r="L2" s="13" t="s">
        <v>18</v>
      </c>
      <c r="M2" s="13" t="s">
        <v>19</v>
      </c>
      <c r="N2" s="13" t="s">
        <v>20</v>
      </c>
      <c r="O2" s="13" t="s">
        <v>21</v>
      </c>
    </row>
    <row r="3" spans="1:20" ht="15" thickBot="1" x14ac:dyDescent="0.2">
      <c r="A3" s="1">
        <v>1</v>
      </c>
      <c r="B3" s="14" t="s">
        <v>22</v>
      </c>
      <c r="C3" s="15">
        <v>0.12</v>
      </c>
      <c r="D3" s="16">
        <v>0.3</v>
      </c>
      <c r="F3" s="5">
        <v>1</v>
      </c>
      <c r="G3" s="17" t="s">
        <v>23</v>
      </c>
      <c r="H3" s="18">
        <v>0.375</v>
      </c>
      <c r="I3" s="19">
        <v>15</v>
      </c>
      <c r="J3" s="19">
        <v>12</v>
      </c>
      <c r="K3" s="19">
        <v>0.75</v>
      </c>
      <c r="L3" s="19"/>
      <c r="M3" s="19">
        <v>2.7</v>
      </c>
      <c r="N3" s="19"/>
      <c r="O3" s="19"/>
      <c r="P3" s="20">
        <v>1</v>
      </c>
    </row>
    <row r="4" spans="1:20" ht="15" thickBot="1" x14ac:dyDescent="0.2">
      <c r="A4" s="1">
        <v>2</v>
      </c>
      <c r="B4" s="21" t="s">
        <v>24</v>
      </c>
      <c r="C4" s="22">
        <v>0.45</v>
      </c>
      <c r="D4" s="23">
        <v>0.3</v>
      </c>
      <c r="F4" s="5">
        <v>1</v>
      </c>
      <c r="G4" s="24" t="s">
        <v>23</v>
      </c>
      <c r="H4" s="25">
        <v>0.75</v>
      </c>
      <c r="I4" s="26">
        <v>15</v>
      </c>
      <c r="J4" s="26">
        <v>12</v>
      </c>
      <c r="K4" s="26">
        <v>0.75</v>
      </c>
      <c r="L4" s="26"/>
      <c r="M4" s="26">
        <v>2.84</v>
      </c>
      <c r="N4" s="26"/>
      <c r="O4" s="26"/>
      <c r="P4" s="20">
        <v>1</v>
      </c>
    </row>
    <row r="5" spans="1:20" ht="15" thickBot="1" x14ac:dyDescent="0.2">
      <c r="A5" s="1">
        <v>3</v>
      </c>
      <c r="B5" s="27" t="s">
        <v>25</v>
      </c>
      <c r="C5" s="28">
        <v>0.12</v>
      </c>
      <c r="D5" s="29">
        <v>0.3</v>
      </c>
      <c r="F5" s="5">
        <v>1</v>
      </c>
      <c r="G5" s="30" t="s">
        <v>23</v>
      </c>
      <c r="H5" s="31">
        <v>1</v>
      </c>
      <c r="I5" s="32">
        <v>15</v>
      </c>
      <c r="J5" s="32">
        <v>12</v>
      </c>
      <c r="K5" s="32">
        <v>0.75</v>
      </c>
      <c r="L5" s="32"/>
      <c r="M5" s="32">
        <v>3.32</v>
      </c>
      <c r="N5" s="32"/>
      <c r="O5" s="32"/>
      <c r="P5" s="20">
        <v>1</v>
      </c>
    </row>
    <row r="6" spans="1:20" ht="15" thickBot="1" x14ac:dyDescent="0.2">
      <c r="A6" s="1">
        <v>4</v>
      </c>
      <c r="B6" s="14" t="s">
        <v>26</v>
      </c>
      <c r="C6" s="22">
        <v>0.08</v>
      </c>
      <c r="D6" s="23">
        <v>0.3</v>
      </c>
      <c r="F6" s="5">
        <v>2</v>
      </c>
      <c r="G6" s="33" t="s">
        <v>27</v>
      </c>
      <c r="H6" s="26">
        <v>0.375</v>
      </c>
      <c r="I6" s="26">
        <v>18</v>
      </c>
      <c r="J6" s="26">
        <v>14</v>
      </c>
      <c r="K6" s="26">
        <v>8</v>
      </c>
      <c r="L6" s="26"/>
      <c r="M6" s="26">
        <v>3.47</v>
      </c>
      <c r="N6" s="26"/>
      <c r="O6" s="26"/>
      <c r="P6" s="20">
        <v>2</v>
      </c>
    </row>
    <row r="7" spans="1:20" ht="15" thickBot="1" x14ac:dyDescent="0.2">
      <c r="A7" s="1">
        <v>5</v>
      </c>
      <c r="B7" s="14" t="s">
        <v>28</v>
      </c>
      <c r="C7" s="22">
        <v>0.15</v>
      </c>
      <c r="D7" s="23">
        <v>0.3</v>
      </c>
      <c r="F7" s="5">
        <v>2</v>
      </c>
      <c r="G7" s="33" t="s">
        <v>27</v>
      </c>
      <c r="H7" s="26">
        <v>0.75</v>
      </c>
      <c r="I7" s="26">
        <v>18</v>
      </c>
      <c r="J7" s="26">
        <v>14</v>
      </c>
      <c r="K7" s="26">
        <v>8</v>
      </c>
      <c r="L7" s="26"/>
      <c r="M7" s="26">
        <v>3.64</v>
      </c>
      <c r="N7" s="26"/>
      <c r="O7" s="26"/>
      <c r="P7" s="20">
        <v>2</v>
      </c>
    </row>
    <row r="8" spans="1:20" ht="15" thickBot="1" x14ac:dyDescent="0.2">
      <c r="A8" s="1">
        <v>6</v>
      </c>
      <c r="B8" s="14" t="s">
        <v>29</v>
      </c>
      <c r="C8" s="22">
        <v>0.08</v>
      </c>
      <c r="D8" s="23">
        <v>0.3</v>
      </c>
      <c r="F8" s="5">
        <v>2</v>
      </c>
      <c r="G8" s="33" t="s">
        <v>27</v>
      </c>
      <c r="H8" s="26">
        <v>1</v>
      </c>
      <c r="I8" s="26">
        <v>18</v>
      </c>
      <c r="J8" s="26">
        <v>14</v>
      </c>
      <c r="K8" s="26">
        <v>8</v>
      </c>
      <c r="L8" s="26"/>
      <c r="M8" s="26">
        <v>4.25</v>
      </c>
      <c r="N8" s="26"/>
      <c r="O8" s="26"/>
      <c r="P8" s="20">
        <v>2</v>
      </c>
      <c r="Q8" s="34"/>
    </row>
    <row r="9" spans="1:20" ht="15" thickBot="1" x14ac:dyDescent="0.2">
      <c r="A9" s="1">
        <v>7</v>
      </c>
      <c r="B9" s="14" t="s">
        <v>30</v>
      </c>
      <c r="C9" s="22">
        <v>0.15</v>
      </c>
      <c r="D9" s="23">
        <v>0.3</v>
      </c>
      <c r="F9" s="5">
        <v>2</v>
      </c>
      <c r="G9" s="33" t="s">
        <v>27</v>
      </c>
      <c r="H9" s="35">
        <v>2</v>
      </c>
      <c r="I9" s="26">
        <v>18</v>
      </c>
      <c r="J9" s="26">
        <v>14</v>
      </c>
      <c r="K9" s="26">
        <v>8</v>
      </c>
      <c r="L9" s="26"/>
      <c r="M9" s="26">
        <v>4.95</v>
      </c>
      <c r="N9" s="26"/>
      <c r="O9" s="26"/>
      <c r="P9" s="20">
        <v>2</v>
      </c>
    </row>
    <row r="10" spans="1:20" ht="15" thickBot="1" x14ac:dyDescent="0.2">
      <c r="A10" s="1">
        <v>8</v>
      </c>
      <c r="B10" s="27" t="s">
        <v>31</v>
      </c>
      <c r="C10" s="15">
        <v>0.15</v>
      </c>
      <c r="D10" s="16">
        <v>0</v>
      </c>
      <c r="F10" s="5">
        <v>2</v>
      </c>
      <c r="G10" s="33" t="s">
        <v>27</v>
      </c>
      <c r="H10" s="35">
        <v>3</v>
      </c>
      <c r="I10" s="26">
        <v>18</v>
      </c>
      <c r="J10" s="26">
        <v>14</v>
      </c>
      <c r="K10" s="26">
        <v>8</v>
      </c>
      <c r="L10" s="26"/>
      <c r="M10" s="26">
        <v>5.68</v>
      </c>
      <c r="N10" s="26"/>
      <c r="O10" s="26"/>
      <c r="P10" s="20">
        <v>2</v>
      </c>
    </row>
    <row r="11" spans="1:20" ht="15" thickBot="1" x14ac:dyDescent="0.2">
      <c r="A11" s="1">
        <v>9</v>
      </c>
      <c r="B11" s="14" t="s">
        <v>32</v>
      </c>
      <c r="C11" s="22">
        <v>0.08</v>
      </c>
      <c r="D11" s="23">
        <v>0.3</v>
      </c>
      <c r="F11" s="5">
        <v>2</v>
      </c>
      <c r="G11" s="33" t="s">
        <v>27</v>
      </c>
      <c r="H11" s="36">
        <v>20</v>
      </c>
      <c r="I11" s="32">
        <v>18</v>
      </c>
      <c r="J11" s="32">
        <v>14</v>
      </c>
      <c r="K11" s="32">
        <v>8</v>
      </c>
      <c r="L11" s="32"/>
      <c r="M11" s="32">
        <v>5.68</v>
      </c>
      <c r="N11" s="32">
        <v>3</v>
      </c>
      <c r="O11" s="32">
        <v>0.3</v>
      </c>
      <c r="P11" s="20">
        <v>2</v>
      </c>
    </row>
    <row r="12" spans="1:20" ht="15" thickBot="1" x14ac:dyDescent="0.2">
      <c r="A12" s="1">
        <v>10</v>
      </c>
      <c r="B12" s="27" t="s">
        <v>33</v>
      </c>
      <c r="C12" s="15">
        <v>0.08</v>
      </c>
      <c r="D12" s="16">
        <v>0.3</v>
      </c>
      <c r="F12" s="5">
        <v>3</v>
      </c>
      <c r="G12" s="37" t="s">
        <v>34</v>
      </c>
      <c r="H12" s="38">
        <v>70</v>
      </c>
      <c r="I12" s="19">
        <v>60</v>
      </c>
      <c r="J12" s="19">
        <v>30</v>
      </c>
      <c r="K12" s="19"/>
      <c r="L12" s="19">
        <v>130</v>
      </c>
      <c r="M12" s="19">
        <v>8.66</v>
      </c>
      <c r="N12" s="19">
        <v>2</v>
      </c>
      <c r="O12" s="19">
        <v>0.38</v>
      </c>
      <c r="P12" s="20">
        <v>3</v>
      </c>
    </row>
    <row r="13" spans="1:20" ht="15" thickBot="1" x14ac:dyDescent="0.2">
      <c r="A13" s="1">
        <v>11</v>
      </c>
      <c r="B13" s="27" t="s">
        <v>35</v>
      </c>
      <c r="C13" s="22">
        <v>0.17</v>
      </c>
      <c r="D13" s="23">
        <v>0.3</v>
      </c>
      <c r="F13" s="5">
        <v>4</v>
      </c>
      <c r="G13" s="39" t="s">
        <v>36</v>
      </c>
      <c r="H13" s="40">
        <v>150</v>
      </c>
      <c r="I13" s="41">
        <v>108</v>
      </c>
      <c r="J13" s="41"/>
      <c r="K13" s="41"/>
      <c r="L13" s="41">
        <v>130</v>
      </c>
      <c r="M13" s="41">
        <v>11.37</v>
      </c>
      <c r="N13" s="41">
        <v>2</v>
      </c>
      <c r="O13" s="41">
        <v>0.39</v>
      </c>
      <c r="P13" s="20">
        <v>4</v>
      </c>
    </row>
    <row r="14" spans="1:20" ht="20" thickBot="1" x14ac:dyDescent="0.25">
      <c r="A14" s="1">
        <v>12</v>
      </c>
      <c r="B14" s="14" t="s">
        <v>37</v>
      </c>
      <c r="C14" s="22">
        <v>0.15</v>
      </c>
      <c r="D14" s="23">
        <v>0</v>
      </c>
      <c r="F14" s="5">
        <v>5</v>
      </c>
      <c r="G14" s="42" t="s">
        <v>38</v>
      </c>
      <c r="H14" s="36">
        <v>151</v>
      </c>
      <c r="I14" s="32"/>
      <c r="J14" s="32"/>
      <c r="K14" s="32"/>
      <c r="L14" s="32">
        <v>165</v>
      </c>
      <c r="M14" s="32">
        <v>75.78</v>
      </c>
      <c r="N14" s="32">
        <v>90</v>
      </c>
      <c r="O14" s="32">
        <v>0.79</v>
      </c>
      <c r="P14" s="20">
        <v>5</v>
      </c>
      <c r="S14" s="43"/>
      <c r="T14" s="44"/>
    </row>
    <row r="15" spans="1:20" ht="20" thickBot="1" x14ac:dyDescent="0.25">
      <c r="A15" s="1">
        <v>13</v>
      </c>
      <c r="B15" s="14" t="s">
        <v>39</v>
      </c>
      <c r="C15" s="22">
        <v>0.08</v>
      </c>
      <c r="D15" s="23">
        <v>0.3</v>
      </c>
      <c r="F15" s="5">
        <v>6</v>
      </c>
      <c r="G15" s="45" t="s">
        <v>40</v>
      </c>
      <c r="H15" s="36"/>
      <c r="I15" s="32"/>
      <c r="J15" s="32"/>
      <c r="K15" s="45"/>
      <c r="L15" s="45"/>
      <c r="M15" s="32">
        <v>137.32</v>
      </c>
      <c r="N15" s="32">
        <v>90</v>
      </c>
      <c r="O15" s="32">
        <v>0.91</v>
      </c>
      <c r="P15" s="20">
        <v>6</v>
      </c>
      <c r="S15" s="46"/>
      <c r="T15" s="47"/>
    </row>
    <row r="16" spans="1:20" ht="20" thickBot="1" x14ac:dyDescent="0.25">
      <c r="A16" s="1">
        <v>14</v>
      </c>
      <c r="B16" s="27" t="s">
        <v>41</v>
      </c>
      <c r="C16" s="15">
        <v>0.15</v>
      </c>
      <c r="D16" s="16">
        <v>0.3</v>
      </c>
      <c r="J16" s="48"/>
      <c r="S16" s="46"/>
      <c r="T16" s="47"/>
    </row>
    <row r="17" spans="1:21" ht="20" thickBot="1" x14ac:dyDescent="0.25">
      <c r="A17" s="1">
        <v>15</v>
      </c>
      <c r="B17" s="27" t="s">
        <v>42</v>
      </c>
      <c r="C17" s="22">
        <v>0.08</v>
      </c>
      <c r="D17" s="23">
        <v>0.3</v>
      </c>
      <c r="J17" s="48"/>
      <c r="S17" s="46"/>
      <c r="T17" s="47"/>
    </row>
    <row r="18" spans="1:21" ht="20" thickBot="1" x14ac:dyDescent="0.25">
      <c r="A18" s="1">
        <v>16</v>
      </c>
      <c r="B18" s="14" t="s">
        <v>43</v>
      </c>
      <c r="C18" s="22">
        <v>0.15</v>
      </c>
      <c r="D18" s="23">
        <v>0.3</v>
      </c>
      <c r="J18" s="48"/>
      <c r="Q18" s="20"/>
      <c r="S18" s="46"/>
      <c r="T18" s="47"/>
    </row>
    <row r="19" spans="1:21" ht="20" thickBot="1" x14ac:dyDescent="0.25">
      <c r="A19" s="1">
        <v>17</v>
      </c>
      <c r="B19" s="49" t="s">
        <v>44</v>
      </c>
      <c r="C19" s="15">
        <v>0.15</v>
      </c>
      <c r="D19" s="16">
        <v>0.3</v>
      </c>
      <c r="G19" s="50"/>
      <c r="H19" s="12" t="s">
        <v>45</v>
      </c>
      <c r="I19" s="51" t="s">
        <v>46</v>
      </c>
      <c r="J19" s="52" t="s">
        <v>47</v>
      </c>
      <c r="L19" s="50" t="s">
        <v>48</v>
      </c>
      <c r="M19" s="53" t="s">
        <v>49</v>
      </c>
      <c r="N19" s="54" t="s">
        <v>50</v>
      </c>
      <c r="Q19" s="55"/>
      <c r="S19" s="46"/>
      <c r="T19" s="47"/>
    </row>
    <row r="20" spans="1:21" ht="20" thickBot="1" x14ac:dyDescent="0.25">
      <c r="A20" s="1">
        <v>18</v>
      </c>
      <c r="B20" s="56" t="s">
        <v>51</v>
      </c>
      <c r="C20" s="22">
        <v>0.1</v>
      </c>
      <c r="D20" s="23">
        <v>0.3</v>
      </c>
      <c r="G20" s="57" t="s">
        <v>52</v>
      </c>
      <c r="H20" s="58">
        <f>+CONVERT('Amazon Gideri Hesaplama'!F26,"m","in")</f>
        <v>16.535433070866141</v>
      </c>
      <c r="I20" s="59" t="str">
        <f>+IF(H20&lt;=I3,G3,IF(H20&lt;=I6,G6,IF(H20&lt;=I12,G12,IF(H20&lt;=I13,G13,IF(H20&gt;I13,G14,0)))))</f>
        <v>Large standard-size</v>
      </c>
      <c r="J20" s="60">
        <f>+VLOOKUP(I20,$G$3:$P$15,10,FALSE)</f>
        <v>2</v>
      </c>
      <c r="L20" s="61" t="s">
        <v>53</v>
      </c>
      <c r="M20" s="62">
        <v>0.48</v>
      </c>
      <c r="N20" s="63">
        <v>1.2</v>
      </c>
      <c r="P20" s="20"/>
      <c r="Q20" s="55"/>
      <c r="S20" s="46"/>
      <c r="T20" s="47"/>
    </row>
    <row r="21" spans="1:21" ht="20" thickBot="1" x14ac:dyDescent="0.25">
      <c r="A21" s="1">
        <v>19</v>
      </c>
      <c r="B21" s="14" t="s">
        <v>54</v>
      </c>
      <c r="C21" s="22">
        <v>0.08</v>
      </c>
      <c r="D21" s="23">
        <v>0</v>
      </c>
      <c r="G21" s="64" t="s">
        <v>55</v>
      </c>
      <c r="H21" s="65">
        <f>+CONVERT('Amazon Gideri Hesaplama'!F27,"m","in")</f>
        <v>11.023622047244096</v>
      </c>
      <c r="I21" s="66" t="str">
        <f>+IF(H21&lt;=J3,G3,IF(H21&lt;=J6,G6,IF(H21&lt;=J12,G12,IF(H21&gt;J12,G13,0))))</f>
        <v>Small standard-size</v>
      </c>
      <c r="J21" s="67">
        <f>+VLOOKUP(I21,$G$3:$P$15,10,FALSE)</f>
        <v>1</v>
      </c>
      <c r="L21" s="68" t="s">
        <v>56</v>
      </c>
      <c r="M21" s="32">
        <v>0.75</v>
      </c>
      <c r="N21" s="31">
        <v>2.4</v>
      </c>
      <c r="P21" s="55"/>
      <c r="Q21" s="55"/>
      <c r="S21" s="46"/>
      <c r="T21" s="43"/>
    </row>
    <row r="22" spans="1:21" ht="17" thickBot="1" x14ac:dyDescent="0.2">
      <c r="A22" s="1">
        <v>20</v>
      </c>
      <c r="B22" s="14" t="s">
        <v>57</v>
      </c>
      <c r="C22" s="22">
        <v>0.15</v>
      </c>
      <c r="D22" s="23">
        <v>0</v>
      </c>
      <c r="G22" s="69" t="s">
        <v>58</v>
      </c>
      <c r="H22" s="70">
        <f>+CONVERT('Amazon Gideri Hesaplama'!F28,"m","in")</f>
        <v>5.1181102362204722</v>
      </c>
      <c r="I22" s="71" t="str">
        <f>+IF(H22&lt;=K3,G3,IF(H22&lt;=K6,G6,IF(H22&gt;K6,G12)))</f>
        <v>Large standard-size</v>
      </c>
      <c r="J22" s="72">
        <f>+VLOOKUP(I22,$G$3:$P$15,10,FALSE)</f>
        <v>2</v>
      </c>
      <c r="P22" s="55"/>
      <c r="Q22" s="55"/>
    </row>
    <row r="23" spans="1:21" ht="17" thickBot="1" x14ac:dyDescent="0.2">
      <c r="A23" s="1">
        <v>21</v>
      </c>
      <c r="B23" s="14" t="s">
        <v>59</v>
      </c>
      <c r="C23" s="22">
        <v>0.08</v>
      </c>
      <c r="D23" s="23">
        <v>0.3</v>
      </c>
      <c r="G23" s="64" t="s">
        <v>60</v>
      </c>
      <c r="H23" s="65">
        <f>+CONVERT(H20,"in","ft")*CONVERT(H21,"in","ft")*CONVERT(H22,"in","ft")</f>
        <v>0.53989062483811756</v>
      </c>
      <c r="I23" s="66"/>
      <c r="J23" s="67"/>
      <c r="O23" s="55"/>
      <c r="P23" s="55"/>
      <c r="Q23" s="20"/>
    </row>
    <row r="24" spans="1:21" ht="17" thickBot="1" x14ac:dyDescent="0.2">
      <c r="A24" s="1">
        <v>22</v>
      </c>
      <c r="B24" s="14" t="s">
        <v>61</v>
      </c>
      <c r="C24" s="22">
        <v>0.15</v>
      </c>
      <c r="D24" s="23">
        <v>0.3</v>
      </c>
      <c r="G24" s="64" t="s">
        <v>62</v>
      </c>
      <c r="H24" s="65">
        <f>+H20*H21*H22/139</f>
        <v>6.711733810937174</v>
      </c>
      <c r="I24" s="73"/>
      <c r="J24" s="74"/>
      <c r="O24" s="55"/>
      <c r="P24" s="55"/>
      <c r="Q24" s="20"/>
    </row>
    <row r="25" spans="1:21" ht="17" thickBot="1" x14ac:dyDescent="0.2">
      <c r="A25" s="1">
        <v>23</v>
      </c>
      <c r="B25" s="14" t="s">
        <v>63</v>
      </c>
      <c r="C25" s="22">
        <v>0.15</v>
      </c>
      <c r="D25" s="23">
        <v>0.3</v>
      </c>
      <c r="G25" s="64" t="s">
        <v>64</v>
      </c>
      <c r="H25" s="65">
        <f>CONVERT('Amazon Gideri Hesaplama'!F29,"g","lbm")</f>
        <v>2.4802004495798728</v>
      </c>
      <c r="I25" s="66" t="str">
        <f>IF(H25&lt;=H5,G5,IF(H25&lt;=H11,G11,IF(H25&lt;=H12,G12,IF(AND(H25&lt;=H13,H26&lt;=L13),G13,IF(AND(H25&lt;=H14,H26&lt;=L14),G14,IF(OR(H25&gt;H14,H26&gt;L14),G15,0))))))</f>
        <v>Large standard-size</v>
      </c>
      <c r="J25" s="67">
        <f>+VLOOKUP(I25,$G$3:$P$15,10,FALSE)</f>
        <v>2</v>
      </c>
      <c r="O25" s="20"/>
      <c r="P25" s="20"/>
      <c r="Q25" s="20"/>
    </row>
    <row r="26" spans="1:21" ht="17" thickBot="1" x14ac:dyDescent="0.2">
      <c r="A26" s="1">
        <v>24</v>
      </c>
      <c r="B26" s="14" t="s">
        <v>65</v>
      </c>
      <c r="C26" s="22">
        <v>0.12</v>
      </c>
      <c r="D26" s="23">
        <v>0.3</v>
      </c>
      <c r="G26" s="75" t="s">
        <v>18</v>
      </c>
      <c r="H26" s="36">
        <f>IFERROR(MAX(H20:H22)+((MIN(H20:H22)+MEDIAN(H20:H22))*2),0)</f>
        <v>48.818897637795281</v>
      </c>
      <c r="I26" s="76" t="str">
        <f>+IF(H26&gt;L14,G15,IF(AND(H26&lt;=L14,H26&gt;L13),G14,IF(AND(H26&gt;L12,H25&lt;H13,H25&gt;H12),G13,IF(AND(H26&lt;L12,H25&gt;H11,H25&lt;H12),G12,IF(H25&lt;=H11,G3,0)))))</f>
        <v>Small standard-size</v>
      </c>
      <c r="J26" s="77">
        <f>+VLOOKUP(I26,$G$3:$P$15,10,FALSE)</f>
        <v>1</v>
      </c>
      <c r="L26" s="78"/>
      <c r="M26" s="78"/>
      <c r="O26" s="20"/>
      <c r="P26" s="20"/>
      <c r="Q26" s="20"/>
    </row>
    <row r="27" spans="1:21" ht="17" thickBot="1" x14ac:dyDescent="0.25">
      <c r="A27" s="1">
        <v>25</v>
      </c>
      <c r="B27" s="27" t="s">
        <v>66</v>
      </c>
      <c r="C27" s="15">
        <v>0.2</v>
      </c>
      <c r="D27" s="79">
        <v>0.3</v>
      </c>
      <c r="J27" s="48"/>
      <c r="O27" s="20"/>
      <c r="P27" s="20"/>
      <c r="Q27" s="20"/>
    </row>
    <row r="28" spans="1:21" ht="16" thickBot="1" x14ac:dyDescent="0.25">
      <c r="A28" s="1">
        <v>26</v>
      </c>
      <c r="B28" s="14" t="s">
        <v>67</v>
      </c>
      <c r="C28" s="22">
        <v>0.05</v>
      </c>
      <c r="D28" s="80">
        <v>0.3</v>
      </c>
      <c r="F28" s="81" t="s">
        <v>68</v>
      </c>
      <c r="G28" s="81"/>
      <c r="H28" s="81"/>
      <c r="J28" s="82"/>
      <c r="K28" s="82"/>
      <c r="L28" s="82"/>
      <c r="O28" s="20"/>
      <c r="P28" s="20"/>
      <c r="Q28" s="20"/>
    </row>
    <row r="29" spans="1:21" ht="20" thickBot="1" x14ac:dyDescent="0.25">
      <c r="A29" s="1">
        <v>27</v>
      </c>
      <c r="B29" s="14" t="s">
        <v>69</v>
      </c>
      <c r="C29" s="22">
        <v>0.15</v>
      </c>
      <c r="D29" s="23">
        <v>0.3</v>
      </c>
      <c r="F29" s="83"/>
      <c r="G29" s="84" t="s">
        <v>70</v>
      </c>
      <c r="H29" s="85" t="s">
        <v>6</v>
      </c>
      <c r="J29" s="82"/>
      <c r="K29" s="82"/>
      <c r="L29" s="82"/>
      <c r="O29" s="20"/>
      <c r="P29" s="20"/>
      <c r="Q29" s="55"/>
      <c r="S29" s="43"/>
      <c r="T29" s="43"/>
      <c r="U29" s="44"/>
    </row>
    <row r="30" spans="1:21" ht="20" thickBot="1" x14ac:dyDescent="0.25">
      <c r="A30" s="1">
        <v>28</v>
      </c>
      <c r="B30" s="14" t="s">
        <v>71</v>
      </c>
      <c r="C30" s="22">
        <v>0.15</v>
      </c>
      <c r="D30" s="23">
        <v>0.3</v>
      </c>
      <c r="F30" s="86" t="s">
        <v>72</v>
      </c>
      <c r="G30" s="87" t="str">
        <f>+VLOOKUP(MAX(J20:J26),F3:G15,2,FALSE)</f>
        <v>Large standard-size</v>
      </c>
      <c r="H30" s="88">
        <f>IF(OR(G30=G12,G30=G13,G30=G14,G30=G15),IF(H25&lt;VLOOKUP(G30,G3:N15,8,FALSE),VLOOKUP(G30,G3:M15,7,FALSE),ROUNDUP(H25-VLOOKUP(G30,G3:N15,8,FALSE),0)*VLOOKUP(G30,G3:O15,9,FALSE)+VLOOKUP(G30,G3:M15,7,FALSE)),IF(AND(G30=G3,H25&lt;=H3),M3,IF(AND(G30=G4,H25&lt;=H4),M4,IF(AND(G30=G5,H25&lt;=H5),M5,IF(AND(G30=G6,H25&lt;=H6),M6,IF(AND(G30=G7,H25&lt;=H7),M7,IF(AND(G30=G8,H25&lt;=H8),M8,IF(AND(G30=G9,H25&lt;=H9),M9,IF(AND(G30=G10,H25&lt;=H10),M10,IF(AND(G30=G11,H25&lt;=H11),M11+(ROUNDUP((H25-N11),0)*O11),0))))))))))</f>
        <v>5.68</v>
      </c>
      <c r="J30" s="82"/>
      <c r="K30" s="82"/>
      <c r="L30" s="82"/>
      <c r="P30" s="20"/>
      <c r="S30" s="46"/>
      <c r="T30" s="46"/>
      <c r="U30" s="43"/>
    </row>
    <row r="31" spans="1:21" ht="20" thickBot="1" x14ac:dyDescent="0.25">
      <c r="A31" s="1">
        <v>29</v>
      </c>
      <c r="B31" s="89" t="s">
        <v>73</v>
      </c>
      <c r="C31" s="28">
        <v>0.15</v>
      </c>
      <c r="D31" s="29">
        <v>0.3</v>
      </c>
      <c r="F31" s="90" t="s">
        <v>74</v>
      </c>
      <c r="G31" s="91" t="str">
        <f>+VLOOKUP(MAX(J20:J26),F3:G15,2,FALSE)</f>
        <v>Large standard-size</v>
      </c>
      <c r="H31" s="92">
        <f>IF(OR(G31=G12,G31=G13,G31=G14,G31=G15),IF(H24&lt;VLOOKUP(G31,G3:N15,8,FALSE),VLOOKUP(G31,G3:M15,7,FALSE),ROUNDUP(H24-VLOOKUP(G31,G3:N15,8,FALSE),0)*VLOOKUP(G31,G3:O15,9,FALSE)+VLOOKUP(G31,G3:M15,7,FALSE)),IF(AND(G31=G3,H24&lt;=H3),M3,IF(AND(G31=G4,H24&lt;=H4),M4,IF(AND(G31=G5,H24&lt;=H5),M5,IF(AND(G31=G6,H24&lt;=H6),M6,IF(AND(G31=G7,H24&lt;=H7),M7,IF(AND(G31=G8,H24&lt;=H8),M8,IF(AND(G31=G9,H24&lt;=H9),M9,IF(AND(G31=G10,H24&lt;=H10),M10,IF(AND(G31=G11,H24&lt;=H11),M11+(ROUNDUP((H24-N11),0)*O11),0))))))))))</f>
        <v>6.88</v>
      </c>
      <c r="J31" s="82"/>
      <c r="K31" s="82"/>
      <c r="L31" s="82"/>
      <c r="O31" s="55"/>
      <c r="P31" s="55"/>
      <c r="S31" s="46"/>
      <c r="T31" s="46"/>
      <c r="U31" s="43"/>
    </row>
    <row r="32" spans="1:21" ht="20" thickBot="1" x14ac:dyDescent="0.25">
      <c r="A32" s="1">
        <v>30</v>
      </c>
      <c r="B32" s="27" t="s">
        <v>75</v>
      </c>
      <c r="C32" s="15">
        <v>0.08</v>
      </c>
      <c r="D32" s="16">
        <v>0.3</v>
      </c>
      <c r="G32" s="73"/>
      <c r="H32" s="73"/>
      <c r="J32" s="82"/>
      <c r="K32" s="82"/>
      <c r="L32" s="82"/>
      <c r="S32" s="46"/>
      <c r="T32" s="46"/>
      <c r="U32" s="43"/>
    </row>
    <row r="33" spans="1:21" ht="20" thickBot="1" x14ac:dyDescent="0.25">
      <c r="A33" s="1">
        <v>31</v>
      </c>
      <c r="B33" s="27" t="s">
        <v>76</v>
      </c>
      <c r="C33" s="15">
        <v>0.15</v>
      </c>
      <c r="D33" s="16">
        <v>0</v>
      </c>
      <c r="G33" s="91" t="s">
        <v>77</v>
      </c>
      <c r="H33" s="93">
        <f>+IF(RIGHT(G30,13)="standard-size",H23*M21,H23*M20)</f>
        <v>0.4049179686285882</v>
      </c>
      <c r="I33" s="94"/>
      <c r="J33" s="82"/>
      <c r="K33" s="82"/>
      <c r="L33" s="82"/>
      <c r="S33" s="46"/>
      <c r="T33" s="46"/>
      <c r="U33" s="43"/>
    </row>
    <row r="34" spans="1:21" ht="17" thickBot="1" x14ac:dyDescent="0.25">
      <c r="A34" s="1">
        <v>32</v>
      </c>
      <c r="B34" s="27" t="s">
        <v>78</v>
      </c>
      <c r="C34" s="22">
        <v>0.15</v>
      </c>
      <c r="D34" s="23">
        <v>0.3</v>
      </c>
      <c r="G34" s="95" t="s">
        <v>79</v>
      </c>
      <c r="H34" s="96">
        <f>+IF(RIGHT(G30,13)="standard-size",H23*N21,H23*N20)</f>
        <v>1.2957374996114821</v>
      </c>
      <c r="J34" s="82"/>
      <c r="K34" s="82"/>
      <c r="L34" s="82"/>
    </row>
    <row r="35" spans="1:21" ht="15" thickBot="1" x14ac:dyDescent="0.2">
      <c r="A35" s="1">
        <v>33</v>
      </c>
      <c r="B35" s="14" t="s">
        <v>80</v>
      </c>
      <c r="C35" s="28">
        <v>0.15</v>
      </c>
      <c r="D35" s="29">
        <v>0.3</v>
      </c>
    </row>
    <row r="36" spans="1:21" ht="17" thickBot="1" x14ac:dyDescent="0.2">
      <c r="A36" s="1">
        <v>34</v>
      </c>
      <c r="B36" s="27" t="s">
        <v>81</v>
      </c>
      <c r="C36" s="15">
        <v>0.15</v>
      </c>
      <c r="D36" s="16">
        <v>0.3</v>
      </c>
      <c r="N36" s="97"/>
      <c r="O36" s="97"/>
      <c r="P36" s="97"/>
      <c r="Q36" s="97"/>
    </row>
    <row r="37" spans="1:21" ht="22" thickBot="1" x14ac:dyDescent="0.2">
      <c r="A37" s="1">
        <v>35</v>
      </c>
      <c r="B37" s="27" t="s">
        <v>82</v>
      </c>
      <c r="C37" s="15">
        <v>0.06</v>
      </c>
      <c r="D37" s="16">
        <v>0.3</v>
      </c>
      <c r="N37" s="98"/>
      <c r="O37" s="98"/>
      <c r="P37" s="98"/>
      <c r="Q37" s="98"/>
    </row>
    <row r="38" spans="1:21" ht="17" thickBot="1" x14ac:dyDescent="0.2">
      <c r="A38" s="1">
        <v>36</v>
      </c>
      <c r="B38" s="27" t="s">
        <v>83</v>
      </c>
      <c r="C38" s="22">
        <v>0.15</v>
      </c>
      <c r="D38" s="23">
        <v>0.3</v>
      </c>
      <c r="N38" s="99"/>
      <c r="O38" s="99"/>
      <c r="P38" s="99"/>
      <c r="Q38" s="99"/>
    </row>
    <row r="39" spans="1:21" ht="15" thickBot="1" x14ac:dyDescent="0.2">
      <c r="A39" s="1">
        <v>37</v>
      </c>
      <c r="B39" s="27" t="s">
        <v>84</v>
      </c>
      <c r="C39" s="100">
        <v>0.15</v>
      </c>
      <c r="D39" s="101">
        <v>0</v>
      </c>
    </row>
    <row r="40" spans="1:21" ht="15" thickBot="1" x14ac:dyDescent="0.2">
      <c r="A40" s="1">
        <v>38</v>
      </c>
      <c r="B40" s="14" t="s">
        <v>85</v>
      </c>
      <c r="C40" s="22">
        <v>0.15</v>
      </c>
      <c r="D40" s="23">
        <v>0.3</v>
      </c>
    </row>
    <row r="41" spans="1:21" ht="15" thickBot="1" x14ac:dyDescent="0.2">
      <c r="A41" s="1">
        <v>39</v>
      </c>
      <c r="B41" s="89" t="s">
        <v>86</v>
      </c>
      <c r="C41" s="28">
        <v>0.15</v>
      </c>
      <c r="D41" s="29">
        <v>0.3</v>
      </c>
    </row>
    <row r="42" spans="1:21" ht="15" thickBot="1" x14ac:dyDescent="0.2">
      <c r="A42" s="1">
        <v>40</v>
      </c>
      <c r="B42" s="27" t="s">
        <v>87</v>
      </c>
      <c r="C42" s="15">
        <v>0.15</v>
      </c>
      <c r="D42" s="16">
        <v>0.3</v>
      </c>
    </row>
    <row r="43" spans="1:21" ht="15" thickBot="1" x14ac:dyDescent="0.2">
      <c r="A43" s="1">
        <v>41</v>
      </c>
      <c r="B43" s="27" t="s">
        <v>88</v>
      </c>
      <c r="C43" s="22">
        <v>0.08</v>
      </c>
      <c r="D43" s="23">
        <v>0.3</v>
      </c>
    </row>
    <row r="44" spans="1:21" ht="15" thickBot="1" x14ac:dyDescent="0.2">
      <c r="A44" s="1">
        <v>42</v>
      </c>
      <c r="B44" s="27" t="s">
        <v>89</v>
      </c>
      <c r="C44" s="100">
        <v>0.15</v>
      </c>
      <c r="D44" s="101">
        <v>0</v>
      </c>
    </row>
    <row r="45" spans="1:21" ht="15" thickBot="1" x14ac:dyDescent="0.2">
      <c r="A45" s="1">
        <v>43</v>
      </c>
      <c r="B45" s="27" t="s">
        <v>90</v>
      </c>
      <c r="C45" s="15">
        <v>0.08</v>
      </c>
      <c r="D45" s="16">
        <v>0.3</v>
      </c>
    </row>
    <row r="46" spans="1:21" ht="15" thickBot="1" x14ac:dyDescent="0.2">
      <c r="A46" s="1">
        <v>44</v>
      </c>
      <c r="B46" s="27" t="s">
        <v>91</v>
      </c>
      <c r="C46" s="15">
        <v>0.16</v>
      </c>
      <c r="D46" s="16">
        <v>0.3</v>
      </c>
    </row>
    <row r="47" spans="1:21" ht="15" thickBot="1" x14ac:dyDescent="0.2">
      <c r="A47" s="1">
        <v>45</v>
      </c>
      <c r="B47" s="14" t="s">
        <v>92</v>
      </c>
      <c r="C47" s="28">
        <v>0.03</v>
      </c>
      <c r="D47" s="29">
        <v>0.3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ECDA0-DD95-1F4F-AB44-84473E4914EB}">
  <dimension ref="A1:U47"/>
  <sheetViews>
    <sheetView topLeftCell="A2" workbookViewId="0">
      <selection activeCell="F18" sqref="F18"/>
    </sheetView>
  </sheetViews>
  <sheetFormatPr baseColWidth="10" defaultColWidth="11" defaultRowHeight="14" x14ac:dyDescent="0.15"/>
  <cols>
    <col min="1" max="1" width="3.5" style="1" customWidth="1"/>
    <col min="2" max="2" width="81.5" style="102" bestFit="1" customWidth="1"/>
    <col min="3" max="3" width="14" style="103" customWidth="1"/>
    <col min="4" max="4" width="11" style="104"/>
    <col min="5" max="6" width="11" style="5"/>
    <col min="7" max="7" width="22.6640625" style="5" bestFit="1" customWidth="1"/>
    <col min="8" max="10" width="20" style="5" customWidth="1"/>
    <col min="11" max="11" width="21" style="5" customWidth="1"/>
    <col min="12" max="17" width="20" style="5" customWidth="1"/>
    <col min="18" max="18" width="7.5" style="5" customWidth="1"/>
    <col min="19" max="19" width="42.1640625" style="5" bestFit="1" customWidth="1"/>
    <col min="20" max="20" width="36.6640625" style="5" customWidth="1"/>
    <col min="21" max="16384" width="11" style="5"/>
  </cols>
  <sheetData>
    <row r="1" spans="1:20" ht="15" thickBot="1" x14ac:dyDescent="0.2">
      <c r="B1" s="2" t="s">
        <v>10</v>
      </c>
      <c r="C1" s="3"/>
      <c r="D1" s="4"/>
    </row>
    <row r="2" spans="1:20" s="10" customFormat="1" ht="46" thickBot="1" x14ac:dyDescent="0.2">
      <c r="A2" s="6"/>
      <c r="B2" s="7" t="s">
        <v>11</v>
      </c>
      <c r="C2" s="8" t="s">
        <v>12</v>
      </c>
      <c r="D2" s="9"/>
      <c r="G2" s="11" t="s">
        <v>13</v>
      </c>
      <c r="H2" s="12" t="s">
        <v>14</v>
      </c>
      <c r="I2" s="12" t="s">
        <v>15</v>
      </c>
      <c r="J2" s="12" t="s">
        <v>16</v>
      </c>
      <c r="K2" s="12" t="s">
        <v>17</v>
      </c>
      <c r="L2" s="13" t="s">
        <v>18</v>
      </c>
      <c r="M2" s="13" t="s">
        <v>19</v>
      </c>
      <c r="N2" s="13" t="s">
        <v>20</v>
      </c>
      <c r="O2" s="13" t="s">
        <v>21</v>
      </c>
    </row>
    <row r="3" spans="1:20" ht="15" thickBot="1" x14ac:dyDescent="0.2">
      <c r="A3" s="1">
        <v>1</v>
      </c>
      <c r="B3" s="14" t="s">
        <v>22</v>
      </c>
      <c r="C3" s="15">
        <v>0.12</v>
      </c>
      <c r="D3" s="16">
        <v>0.3</v>
      </c>
      <c r="F3" s="5">
        <v>1</v>
      </c>
      <c r="G3" s="17" t="s">
        <v>23</v>
      </c>
      <c r="H3" s="18">
        <v>0.375</v>
      </c>
      <c r="I3" s="19">
        <v>15</v>
      </c>
      <c r="J3" s="19">
        <v>12</v>
      </c>
      <c r="K3" s="19">
        <v>0.75</v>
      </c>
      <c r="L3" s="19"/>
      <c r="M3" s="19">
        <v>3</v>
      </c>
      <c r="N3" s="19"/>
      <c r="O3" s="19"/>
      <c r="P3" s="20">
        <v>1</v>
      </c>
    </row>
    <row r="4" spans="1:20" ht="15" thickBot="1" x14ac:dyDescent="0.2">
      <c r="A4" s="1">
        <v>2</v>
      </c>
      <c r="B4" s="21" t="s">
        <v>24</v>
      </c>
      <c r="C4" s="22">
        <v>0.45</v>
      </c>
      <c r="D4" s="23">
        <v>0.3</v>
      </c>
      <c r="F4" s="5">
        <v>1</v>
      </c>
      <c r="G4" s="24" t="s">
        <v>23</v>
      </c>
      <c r="H4" s="25">
        <v>0.75</v>
      </c>
      <c r="I4" s="26">
        <v>15</v>
      </c>
      <c r="J4" s="26">
        <v>12</v>
      </c>
      <c r="K4" s="26">
        <v>0.75</v>
      </c>
      <c r="L4" s="26"/>
      <c r="M4" s="26">
        <v>3.14</v>
      </c>
      <c r="N4" s="26"/>
      <c r="O4" s="26"/>
      <c r="P4" s="20">
        <v>1</v>
      </c>
    </row>
    <row r="5" spans="1:20" ht="15" thickBot="1" x14ac:dyDescent="0.2">
      <c r="A5" s="1">
        <v>3</v>
      </c>
      <c r="B5" s="27" t="s">
        <v>25</v>
      </c>
      <c r="C5" s="28">
        <v>0.12</v>
      </c>
      <c r="D5" s="29">
        <v>0.3</v>
      </c>
      <c r="F5" s="5">
        <v>1</v>
      </c>
      <c r="G5" s="30" t="s">
        <v>23</v>
      </c>
      <c r="H5" s="31">
        <v>1</v>
      </c>
      <c r="I5" s="32">
        <v>15</v>
      </c>
      <c r="J5" s="32">
        <v>12</v>
      </c>
      <c r="K5" s="32">
        <v>0.75</v>
      </c>
      <c r="L5" s="32"/>
      <c r="M5" s="32">
        <v>3.62</v>
      </c>
      <c r="N5" s="32"/>
      <c r="O5" s="32"/>
      <c r="P5" s="20">
        <v>1</v>
      </c>
    </row>
    <row r="6" spans="1:20" ht="15" thickBot="1" x14ac:dyDescent="0.2">
      <c r="A6" s="1">
        <v>4</v>
      </c>
      <c r="B6" s="14" t="s">
        <v>26</v>
      </c>
      <c r="C6" s="22">
        <v>0.08</v>
      </c>
      <c r="D6" s="23">
        <v>0.3</v>
      </c>
      <c r="F6" s="5">
        <v>2</v>
      </c>
      <c r="G6" s="33" t="s">
        <v>27</v>
      </c>
      <c r="H6" s="26">
        <v>0.375</v>
      </c>
      <c r="I6" s="26">
        <v>18</v>
      </c>
      <c r="J6" s="26">
        <v>14</v>
      </c>
      <c r="K6" s="26">
        <v>8</v>
      </c>
      <c r="L6" s="26"/>
      <c r="M6" s="26">
        <v>3.87</v>
      </c>
      <c r="N6" s="26"/>
      <c r="O6" s="26"/>
      <c r="P6" s="20">
        <v>2</v>
      </c>
    </row>
    <row r="7" spans="1:20" ht="15" thickBot="1" x14ac:dyDescent="0.2">
      <c r="A7" s="1">
        <v>5</v>
      </c>
      <c r="B7" s="14" t="s">
        <v>28</v>
      </c>
      <c r="C7" s="22">
        <v>0.15</v>
      </c>
      <c r="D7" s="23">
        <v>0.3</v>
      </c>
      <c r="F7" s="5">
        <v>2</v>
      </c>
      <c r="G7" s="33" t="s">
        <v>27</v>
      </c>
      <c r="H7" s="26">
        <v>0.75</v>
      </c>
      <c r="I7" s="26">
        <v>18</v>
      </c>
      <c r="J7" s="26">
        <v>14</v>
      </c>
      <c r="K7" s="26">
        <v>8</v>
      </c>
      <c r="L7" s="26"/>
      <c r="M7" s="26">
        <v>4.04</v>
      </c>
      <c r="N7" s="26"/>
      <c r="O7" s="26"/>
      <c r="P7" s="20">
        <v>2</v>
      </c>
    </row>
    <row r="8" spans="1:20" ht="15" thickBot="1" x14ac:dyDescent="0.2">
      <c r="A8" s="1">
        <v>6</v>
      </c>
      <c r="B8" s="14" t="s">
        <v>29</v>
      </c>
      <c r="C8" s="22">
        <v>0.08</v>
      </c>
      <c r="D8" s="23">
        <v>0.3</v>
      </c>
      <c r="F8" s="5">
        <v>2</v>
      </c>
      <c r="G8" s="33" t="s">
        <v>27</v>
      </c>
      <c r="H8" s="26">
        <v>1</v>
      </c>
      <c r="I8" s="26">
        <v>18</v>
      </c>
      <c r="J8" s="26">
        <v>14</v>
      </c>
      <c r="K8" s="26">
        <v>8</v>
      </c>
      <c r="L8" s="26"/>
      <c r="M8" s="26">
        <v>4.6500000000000004</v>
      </c>
      <c r="N8" s="26"/>
      <c r="O8" s="26"/>
      <c r="P8" s="20">
        <v>2</v>
      </c>
      <c r="Q8" s="34"/>
    </row>
    <row r="9" spans="1:20" ht="15" thickBot="1" x14ac:dyDescent="0.2">
      <c r="A9" s="1">
        <v>7</v>
      </c>
      <c r="B9" s="14" t="s">
        <v>30</v>
      </c>
      <c r="C9" s="22">
        <v>0.15</v>
      </c>
      <c r="D9" s="23">
        <v>0.3</v>
      </c>
      <c r="F9" s="5">
        <v>2</v>
      </c>
      <c r="G9" s="33" t="s">
        <v>27</v>
      </c>
      <c r="H9" s="35">
        <v>2</v>
      </c>
      <c r="I9" s="26">
        <v>18</v>
      </c>
      <c r="J9" s="26">
        <v>14</v>
      </c>
      <c r="K9" s="26">
        <v>8</v>
      </c>
      <c r="L9" s="26"/>
      <c r="M9" s="26">
        <v>5.35</v>
      </c>
      <c r="N9" s="26"/>
      <c r="O9" s="26"/>
      <c r="P9" s="20">
        <v>2</v>
      </c>
    </row>
    <row r="10" spans="1:20" ht="15" thickBot="1" x14ac:dyDescent="0.2">
      <c r="A10" s="1">
        <v>8</v>
      </c>
      <c r="B10" s="27" t="s">
        <v>31</v>
      </c>
      <c r="C10" s="15">
        <v>0.15</v>
      </c>
      <c r="D10" s="16">
        <v>0</v>
      </c>
      <c r="F10" s="5">
        <v>2</v>
      </c>
      <c r="G10" s="33" t="s">
        <v>27</v>
      </c>
      <c r="H10" s="35">
        <v>3</v>
      </c>
      <c r="I10" s="26">
        <v>18</v>
      </c>
      <c r="J10" s="26">
        <v>14</v>
      </c>
      <c r="K10" s="26">
        <v>8</v>
      </c>
      <c r="L10" s="26"/>
      <c r="M10" s="26">
        <v>6.08</v>
      </c>
      <c r="N10" s="26"/>
      <c r="O10" s="26"/>
      <c r="P10" s="20">
        <v>2</v>
      </c>
    </row>
    <row r="11" spans="1:20" ht="15" thickBot="1" x14ac:dyDescent="0.2">
      <c r="A11" s="1">
        <v>9</v>
      </c>
      <c r="B11" s="14" t="s">
        <v>32</v>
      </c>
      <c r="C11" s="22">
        <v>0.08</v>
      </c>
      <c r="D11" s="23">
        <v>0.3</v>
      </c>
      <c r="F11" s="5">
        <v>2</v>
      </c>
      <c r="G11" s="33" t="s">
        <v>27</v>
      </c>
      <c r="H11" s="36">
        <v>20</v>
      </c>
      <c r="I11" s="32">
        <v>18</v>
      </c>
      <c r="J11" s="32">
        <v>14</v>
      </c>
      <c r="K11" s="32">
        <v>8</v>
      </c>
      <c r="L11" s="32"/>
      <c r="M11" s="32">
        <v>6.08</v>
      </c>
      <c r="N11" s="32">
        <v>3</v>
      </c>
      <c r="O11" s="32">
        <v>0.3</v>
      </c>
      <c r="P11" s="20">
        <v>2</v>
      </c>
    </row>
    <row r="12" spans="1:20" ht="15" thickBot="1" x14ac:dyDescent="0.2">
      <c r="A12" s="1">
        <v>10</v>
      </c>
      <c r="B12" s="27" t="s">
        <v>33</v>
      </c>
      <c r="C12" s="15">
        <v>0.08</v>
      </c>
      <c r="D12" s="16">
        <v>0.3</v>
      </c>
      <c r="F12" s="5">
        <v>3</v>
      </c>
      <c r="G12" s="37" t="s">
        <v>34</v>
      </c>
      <c r="H12" s="38">
        <v>70</v>
      </c>
      <c r="I12" s="19">
        <v>60</v>
      </c>
      <c r="J12" s="19">
        <v>30</v>
      </c>
      <c r="K12" s="19"/>
      <c r="L12" s="19">
        <v>130</v>
      </c>
      <c r="M12" s="19">
        <v>8.66</v>
      </c>
      <c r="N12" s="19">
        <v>2</v>
      </c>
      <c r="O12" s="19">
        <v>0.38</v>
      </c>
      <c r="P12" s="20">
        <v>3</v>
      </c>
    </row>
    <row r="13" spans="1:20" ht="15" thickBot="1" x14ac:dyDescent="0.2">
      <c r="A13" s="1">
        <v>11</v>
      </c>
      <c r="B13" s="27" t="s">
        <v>35</v>
      </c>
      <c r="C13" s="22">
        <v>0.17</v>
      </c>
      <c r="D13" s="23">
        <v>0.3</v>
      </c>
      <c r="F13" s="5">
        <v>4</v>
      </c>
      <c r="G13" s="39" t="s">
        <v>36</v>
      </c>
      <c r="H13" s="40">
        <v>150</v>
      </c>
      <c r="I13" s="41">
        <v>108</v>
      </c>
      <c r="J13" s="41"/>
      <c r="K13" s="41"/>
      <c r="L13" s="41">
        <v>130</v>
      </c>
      <c r="M13" s="41">
        <v>11.37</v>
      </c>
      <c r="N13" s="41">
        <v>2</v>
      </c>
      <c r="O13" s="41">
        <v>0.39</v>
      </c>
      <c r="P13" s="20">
        <v>4</v>
      </c>
    </row>
    <row r="14" spans="1:20" ht="20" thickBot="1" x14ac:dyDescent="0.25">
      <c r="A14" s="1">
        <v>12</v>
      </c>
      <c r="B14" s="14" t="s">
        <v>37</v>
      </c>
      <c r="C14" s="22">
        <v>0.15</v>
      </c>
      <c r="D14" s="23">
        <v>0</v>
      </c>
      <c r="F14" s="5">
        <v>5</v>
      </c>
      <c r="G14" s="42" t="s">
        <v>38</v>
      </c>
      <c r="H14" s="36">
        <v>151</v>
      </c>
      <c r="I14" s="32"/>
      <c r="J14" s="32"/>
      <c r="K14" s="32"/>
      <c r="L14" s="32">
        <v>165</v>
      </c>
      <c r="M14" s="32">
        <v>75.78</v>
      </c>
      <c r="N14" s="32">
        <v>90</v>
      </c>
      <c r="O14" s="32">
        <v>0.79</v>
      </c>
      <c r="P14" s="20">
        <v>5</v>
      </c>
      <c r="S14" s="43"/>
      <c r="T14" s="44"/>
    </row>
    <row r="15" spans="1:20" ht="20" thickBot="1" x14ac:dyDescent="0.25">
      <c r="A15" s="1">
        <v>13</v>
      </c>
      <c r="B15" s="14" t="s">
        <v>39</v>
      </c>
      <c r="C15" s="22">
        <v>0.08</v>
      </c>
      <c r="D15" s="23">
        <v>0.3</v>
      </c>
      <c r="F15" s="5">
        <v>6</v>
      </c>
      <c r="G15" s="45" t="s">
        <v>40</v>
      </c>
      <c r="H15" s="36"/>
      <c r="I15" s="32"/>
      <c r="J15" s="32"/>
      <c r="K15" s="45"/>
      <c r="L15" s="45"/>
      <c r="M15" s="32">
        <v>137.32</v>
      </c>
      <c r="N15" s="32">
        <v>90</v>
      </c>
      <c r="O15" s="32">
        <v>0.91</v>
      </c>
      <c r="P15" s="20">
        <v>6</v>
      </c>
      <c r="S15" s="46"/>
      <c r="T15" s="47"/>
    </row>
    <row r="16" spans="1:20" ht="20" thickBot="1" x14ac:dyDescent="0.25">
      <c r="A16" s="1">
        <v>14</v>
      </c>
      <c r="B16" s="27" t="s">
        <v>41</v>
      </c>
      <c r="C16" s="15">
        <v>0.15</v>
      </c>
      <c r="D16" s="16">
        <v>0.3</v>
      </c>
      <c r="J16" s="48"/>
      <c r="S16" s="46"/>
      <c r="T16" s="47"/>
    </row>
    <row r="17" spans="1:21" ht="20" thickBot="1" x14ac:dyDescent="0.25">
      <c r="A17" s="1">
        <v>15</v>
      </c>
      <c r="B17" s="27" t="s">
        <v>42</v>
      </c>
      <c r="C17" s="22">
        <v>0.08</v>
      </c>
      <c r="D17" s="23">
        <v>0.3</v>
      </c>
      <c r="J17" s="48"/>
      <c r="S17" s="46"/>
      <c r="T17" s="47"/>
    </row>
    <row r="18" spans="1:21" ht="20" thickBot="1" x14ac:dyDescent="0.25">
      <c r="A18" s="1">
        <v>16</v>
      </c>
      <c r="B18" s="14" t="s">
        <v>43</v>
      </c>
      <c r="C18" s="22">
        <v>0.15</v>
      </c>
      <c r="D18" s="23">
        <v>0.3</v>
      </c>
      <c r="J18" s="48"/>
      <c r="Q18" s="20"/>
      <c r="S18" s="46"/>
      <c r="T18" s="47"/>
    </row>
    <row r="19" spans="1:21" ht="20" thickBot="1" x14ac:dyDescent="0.25">
      <c r="A19" s="1">
        <v>17</v>
      </c>
      <c r="B19" s="49" t="s">
        <v>44</v>
      </c>
      <c r="C19" s="15">
        <v>0.15</v>
      </c>
      <c r="D19" s="16">
        <v>0.3</v>
      </c>
      <c r="G19" s="50"/>
      <c r="H19" s="12" t="s">
        <v>45</v>
      </c>
      <c r="I19" s="51" t="s">
        <v>46</v>
      </c>
      <c r="J19" s="52" t="s">
        <v>47</v>
      </c>
      <c r="L19" s="50" t="s">
        <v>48</v>
      </c>
      <c r="M19" s="53" t="s">
        <v>49</v>
      </c>
      <c r="N19" s="54" t="s">
        <v>50</v>
      </c>
      <c r="Q19" s="55"/>
      <c r="S19" s="46"/>
      <c r="T19" s="47"/>
    </row>
    <row r="20" spans="1:21" ht="20" thickBot="1" x14ac:dyDescent="0.25">
      <c r="A20" s="1">
        <v>18</v>
      </c>
      <c r="B20" s="56" t="s">
        <v>51</v>
      </c>
      <c r="C20" s="22">
        <v>0.1</v>
      </c>
      <c r="D20" s="23">
        <v>0.3</v>
      </c>
      <c r="G20" s="57" t="s">
        <v>52</v>
      </c>
      <c r="H20" s="58">
        <f>+CONVERT('Amazon Gideri Hesaplama'!F26,"m","in")</f>
        <v>16.535433070866141</v>
      </c>
      <c r="I20" s="59" t="str">
        <f>+IF(H20&lt;=I3,G3,IF(H20&lt;=I6,G6,IF(H20&lt;=I12,G12,IF(H20&lt;=I13,G13,IF(H20&gt;I13,G14,0)))))</f>
        <v>Large standard-size</v>
      </c>
      <c r="J20" s="60">
        <f>+VLOOKUP(I20,$G$3:$P$15,10,FALSE)</f>
        <v>2</v>
      </c>
      <c r="L20" s="61" t="s">
        <v>53</v>
      </c>
      <c r="M20" s="62">
        <v>0.48</v>
      </c>
      <c r="N20" s="63">
        <v>1.2</v>
      </c>
      <c r="P20" s="20"/>
      <c r="Q20" s="55"/>
      <c r="S20" s="46"/>
      <c r="T20" s="47"/>
    </row>
    <row r="21" spans="1:21" ht="20" thickBot="1" x14ac:dyDescent="0.25">
      <c r="A21" s="1">
        <v>19</v>
      </c>
      <c r="B21" s="14" t="s">
        <v>54</v>
      </c>
      <c r="C21" s="22">
        <v>0.08</v>
      </c>
      <c r="D21" s="23">
        <v>0</v>
      </c>
      <c r="G21" s="64" t="s">
        <v>55</v>
      </c>
      <c r="H21" s="65">
        <f>+CONVERT('Amazon Gideri Hesaplama'!F27,"m","in")</f>
        <v>11.023622047244096</v>
      </c>
      <c r="I21" s="66" t="str">
        <f>+IF(H21&lt;=J3,G3,IF(H21&lt;=J6,G6,IF(H21&lt;=J12,G12,IF(H21&gt;J12,G13,0))))</f>
        <v>Small standard-size</v>
      </c>
      <c r="J21" s="67">
        <f>+VLOOKUP(I21,$G$3:$P$15,10,FALSE)</f>
        <v>1</v>
      </c>
      <c r="L21" s="68" t="s">
        <v>56</v>
      </c>
      <c r="M21" s="32">
        <v>0.75</v>
      </c>
      <c r="N21" s="31">
        <v>2.4</v>
      </c>
      <c r="P21" s="55"/>
      <c r="Q21" s="55"/>
      <c r="S21" s="46"/>
      <c r="T21" s="43"/>
    </row>
    <row r="22" spans="1:21" ht="17" thickBot="1" x14ac:dyDescent="0.2">
      <c r="A22" s="1">
        <v>20</v>
      </c>
      <c r="B22" s="14" t="s">
        <v>57</v>
      </c>
      <c r="C22" s="22">
        <v>0.15</v>
      </c>
      <c r="D22" s="23">
        <v>0</v>
      </c>
      <c r="G22" s="69" t="s">
        <v>58</v>
      </c>
      <c r="H22" s="70">
        <f>+CONVERT('Amazon Gideri Hesaplama'!F28,"m","in")</f>
        <v>5.1181102362204722</v>
      </c>
      <c r="I22" s="71" t="str">
        <f>+IF(H22&lt;=K3,G3,IF(H22&lt;=K6,G6,IF(H22&gt;K6,G12)))</f>
        <v>Large standard-size</v>
      </c>
      <c r="J22" s="72">
        <f>+VLOOKUP(I22,$G$3:$P$15,10,FALSE)</f>
        <v>2</v>
      </c>
      <c r="P22" s="55"/>
      <c r="Q22" s="55"/>
    </row>
    <row r="23" spans="1:21" ht="17" thickBot="1" x14ac:dyDescent="0.2">
      <c r="A23" s="1">
        <v>21</v>
      </c>
      <c r="B23" s="14" t="s">
        <v>59</v>
      </c>
      <c r="C23" s="22">
        <v>0.08</v>
      </c>
      <c r="D23" s="23">
        <v>0.3</v>
      </c>
      <c r="G23" s="64" t="s">
        <v>60</v>
      </c>
      <c r="H23" s="65">
        <f>+CONVERT(H20,"in","ft")*CONVERT(H21,"in","ft")*CONVERT(H22,"in","ft")</f>
        <v>0.53989062483811756</v>
      </c>
      <c r="I23" s="66"/>
      <c r="J23" s="67"/>
      <c r="O23" s="55"/>
      <c r="P23" s="55"/>
      <c r="Q23" s="20"/>
    </row>
    <row r="24" spans="1:21" ht="17" thickBot="1" x14ac:dyDescent="0.2">
      <c r="A24" s="1">
        <v>22</v>
      </c>
      <c r="B24" s="14" t="s">
        <v>61</v>
      </c>
      <c r="C24" s="22">
        <v>0.15</v>
      </c>
      <c r="D24" s="23">
        <v>0.3</v>
      </c>
      <c r="G24" s="64" t="s">
        <v>62</v>
      </c>
      <c r="H24" s="65">
        <f>+H20*H21*H22/139</f>
        <v>6.711733810937174</v>
      </c>
      <c r="I24" s="73"/>
      <c r="J24" s="74"/>
      <c r="O24" s="55"/>
      <c r="P24" s="55"/>
      <c r="Q24" s="20"/>
    </row>
    <row r="25" spans="1:21" ht="17" thickBot="1" x14ac:dyDescent="0.2">
      <c r="A25" s="1">
        <v>23</v>
      </c>
      <c r="B25" s="14" t="s">
        <v>63</v>
      </c>
      <c r="C25" s="22">
        <v>0.15</v>
      </c>
      <c r="D25" s="23">
        <v>0.3</v>
      </c>
      <c r="G25" s="64" t="s">
        <v>64</v>
      </c>
      <c r="H25" s="65">
        <f>CONVERT('Amazon Gideri Hesaplama'!F29,"g","lbm")</f>
        <v>2.4802004495798728</v>
      </c>
      <c r="I25" s="66" t="str">
        <f>IF(H25&lt;=H5,G5,IF(H25&lt;=H11,G11,IF(H25&lt;=H12,G12,IF(AND(H25&lt;=H13,H26&lt;=L13),G13,IF(AND(H25&lt;=H14,H26&lt;=L14),G14,IF(OR(H25&gt;H14,H26&gt;L14),G15,0))))))</f>
        <v>Large standard-size</v>
      </c>
      <c r="J25" s="67">
        <f>+VLOOKUP(I25,$G$3:$P$15,10,FALSE)</f>
        <v>2</v>
      </c>
      <c r="O25" s="20"/>
      <c r="P25" s="20"/>
      <c r="Q25" s="20"/>
    </row>
    <row r="26" spans="1:21" ht="17" thickBot="1" x14ac:dyDescent="0.2">
      <c r="A26" s="1">
        <v>24</v>
      </c>
      <c r="B26" s="14" t="s">
        <v>65</v>
      </c>
      <c r="C26" s="22">
        <v>0.12</v>
      </c>
      <c r="D26" s="23">
        <v>0.3</v>
      </c>
      <c r="G26" s="75" t="s">
        <v>18</v>
      </c>
      <c r="H26" s="36">
        <f>IFERROR(MAX(H20:H22)+((MIN(H20:H22)+MEDIAN(H20:H22))*2),0)</f>
        <v>48.818897637795281</v>
      </c>
      <c r="I26" s="76" t="str">
        <f>+IF(H26&gt;L14,G15,IF(AND(H26&lt;=L14,H26&gt;L13),G14,IF(AND(H26&gt;L12,H25&lt;H13,H25&gt;H12),G13,IF(AND(H26&lt;L12,H25&gt;H11,H25&lt;H12),G12,IF(H25&lt;=H11,G3,0)))))</f>
        <v>Small standard-size</v>
      </c>
      <c r="J26" s="77">
        <f>+VLOOKUP(I26,$G$3:$P$15,10,FALSE)</f>
        <v>1</v>
      </c>
      <c r="K26" s="5">
        <f>IF(VLOOKUP(G30,G3:P15,10,FALSE)&lt;3,1,0)</f>
        <v>1</v>
      </c>
      <c r="L26" s="78"/>
      <c r="M26" s="78"/>
      <c r="O26" s="20"/>
      <c r="P26" s="20"/>
      <c r="Q26" s="20"/>
    </row>
    <row r="27" spans="1:21" ht="17" thickBot="1" x14ac:dyDescent="0.25">
      <c r="A27" s="1">
        <v>25</v>
      </c>
      <c r="B27" s="27" t="s">
        <v>66</v>
      </c>
      <c r="C27" s="15">
        <v>0.2</v>
      </c>
      <c r="D27" s="79">
        <v>0.3</v>
      </c>
      <c r="J27" s="48"/>
      <c r="O27" s="20"/>
      <c r="P27" s="20"/>
      <c r="Q27" s="20"/>
    </row>
    <row r="28" spans="1:21" ht="16" thickBot="1" x14ac:dyDescent="0.25">
      <c r="A28" s="1">
        <v>26</v>
      </c>
      <c r="B28" s="14" t="s">
        <v>67</v>
      </c>
      <c r="C28" s="22">
        <v>0.05</v>
      </c>
      <c r="D28" s="80">
        <v>0.3</v>
      </c>
      <c r="F28" s="81" t="s">
        <v>68</v>
      </c>
      <c r="G28" s="81"/>
      <c r="H28" s="81"/>
      <c r="J28" s="82"/>
      <c r="K28" s="82"/>
      <c r="L28" s="82"/>
      <c r="O28" s="20"/>
      <c r="P28" s="20"/>
      <c r="Q28" s="20"/>
    </row>
    <row r="29" spans="1:21" ht="20" thickBot="1" x14ac:dyDescent="0.25">
      <c r="A29" s="1">
        <v>27</v>
      </c>
      <c r="B29" s="14" t="s">
        <v>69</v>
      </c>
      <c r="C29" s="22">
        <v>0.15</v>
      </c>
      <c r="D29" s="23">
        <v>0.3</v>
      </c>
      <c r="F29" s="83"/>
      <c r="G29" s="84" t="s">
        <v>70</v>
      </c>
      <c r="H29" s="85" t="s">
        <v>6</v>
      </c>
      <c r="J29" s="82"/>
      <c r="K29" s="82"/>
      <c r="L29" s="82"/>
      <c r="O29" s="20"/>
      <c r="P29" s="20"/>
      <c r="Q29" s="55"/>
      <c r="S29" s="43"/>
      <c r="T29" s="43"/>
      <c r="U29" s="44"/>
    </row>
    <row r="30" spans="1:21" ht="20" thickBot="1" x14ac:dyDescent="0.25">
      <c r="A30" s="1">
        <v>28</v>
      </c>
      <c r="B30" s="14" t="s">
        <v>71</v>
      </c>
      <c r="C30" s="22">
        <v>0.15</v>
      </c>
      <c r="D30" s="23">
        <v>0.3</v>
      </c>
      <c r="F30" s="86" t="s">
        <v>72</v>
      </c>
      <c r="G30" s="87" t="str">
        <f>+VLOOKUP(MAX(J20:J26),F3:G15,2,FALSE)</f>
        <v>Large standard-size</v>
      </c>
      <c r="H30" s="88">
        <f>IF(OR(G30=G12,G30=G13,G30=G14,G30=G15),IF(H25&lt;VLOOKUP(G30,G3:N15,8,FALSE),VLOOKUP(G30,G3:M15,7,FALSE),ROUNDUP(H25-VLOOKUP(G30,G3:N15,8,FALSE),0)*VLOOKUP(G30,G3:O15,9,FALSE)+VLOOKUP(G30,G3:M15,7,FALSE)),IF(AND(G30=G3,H25&lt;=H3),M3,IF(AND(G30=G4,H25&lt;=H4),M4,IF(AND(G30=G5,H25&lt;=H5),M5,IF(AND(G30=G6,H25&lt;=H6),M6,IF(AND(G30=G7,H25&lt;=H7),M7,IF(AND(G30=G8,H25&lt;=H8),M8,IF(AND(G30=G9,H25&lt;=H9),M9,IF(AND(G30=G10,H25&lt;=H10),M10,IF(AND(G30=G11,H25&lt;=H11),M11+(ROUNDUP((H25-N11),0)*O11),0))))))))))</f>
        <v>6.08</v>
      </c>
      <c r="J30" s="82"/>
      <c r="K30" s="82"/>
      <c r="L30" s="82"/>
      <c r="P30" s="20"/>
      <c r="S30" s="46"/>
      <c r="T30" s="46"/>
      <c r="U30" s="43"/>
    </row>
    <row r="31" spans="1:21" ht="20" thickBot="1" x14ac:dyDescent="0.25">
      <c r="A31" s="1">
        <v>29</v>
      </c>
      <c r="B31" s="89" t="s">
        <v>73</v>
      </c>
      <c r="C31" s="28">
        <v>0.15</v>
      </c>
      <c r="D31" s="29">
        <v>0.3</v>
      </c>
      <c r="F31" s="90" t="s">
        <v>74</v>
      </c>
      <c r="G31" s="91" t="str">
        <f>+VLOOKUP(MAX(J20:J26),F3:G15,2,FALSE)</f>
        <v>Large standard-size</v>
      </c>
      <c r="H31" s="92">
        <f>IF(OR(G31=G12,G31=G13,G31=G14,G31=G15),IF(H24&lt;VLOOKUP(G31,G3:N15,8,FALSE),VLOOKUP(G31,G3:M15,7,FALSE),ROUNDUP(H24-VLOOKUP(G31,G3:N15,8,FALSE),0)*VLOOKUP(G31,G3:O15,9,FALSE)+VLOOKUP(G31,G3:M15,7,FALSE)),IF(AND(G31=G3,H24&lt;=H3),M3,IF(AND(G31=G4,H24&lt;=H4),M4,IF(AND(G31=G5,H24&lt;=H5),M5,IF(AND(G31=G6,H24&lt;=H6),M6,IF(AND(G31=G7,H24&lt;=H7),M7,IF(AND(G31=G8,H24&lt;=H8),M8,IF(AND(G31=G9,H24&lt;=H9),M9,IF(AND(G31=G10,H24&lt;=H10),M10,IF(AND(G31=G11,H24&lt;=H11),M11+(ROUNDUP((H24-N11),0)*O11),0))))))))))</f>
        <v>7.28</v>
      </c>
      <c r="J31" s="82"/>
      <c r="K31" s="82"/>
      <c r="L31" s="82"/>
      <c r="O31" s="55"/>
      <c r="P31" s="55"/>
      <c r="S31" s="46"/>
      <c r="T31" s="46"/>
      <c r="U31" s="43"/>
    </row>
    <row r="32" spans="1:21" ht="20" thickBot="1" x14ac:dyDescent="0.25">
      <c r="A32" s="1">
        <v>30</v>
      </c>
      <c r="B32" s="27" t="s">
        <v>75</v>
      </c>
      <c r="C32" s="15">
        <v>0.08</v>
      </c>
      <c r="D32" s="16">
        <v>0.3</v>
      </c>
      <c r="G32" s="73"/>
      <c r="H32" s="73"/>
      <c r="J32" s="82"/>
      <c r="K32" s="82"/>
      <c r="L32" s="82"/>
      <c r="S32" s="46"/>
      <c r="T32" s="46"/>
      <c r="U32" s="43"/>
    </row>
    <row r="33" spans="1:21" ht="20" thickBot="1" x14ac:dyDescent="0.25">
      <c r="A33" s="1">
        <v>31</v>
      </c>
      <c r="B33" s="27" t="s">
        <v>76</v>
      </c>
      <c r="C33" s="15">
        <v>0.15</v>
      </c>
      <c r="D33" s="16">
        <v>0</v>
      </c>
      <c r="G33" s="91" t="s">
        <v>77</v>
      </c>
      <c r="H33" s="93">
        <f>+IF(RIGHT(G30,13)="standard-size",H23*M21,H23*M20)</f>
        <v>0.4049179686285882</v>
      </c>
      <c r="I33" s="94"/>
      <c r="J33" s="82"/>
      <c r="K33" s="82"/>
      <c r="L33" s="82"/>
      <c r="S33" s="46"/>
      <c r="T33" s="46"/>
      <c r="U33" s="43"/>
    </row>
    <row r="34" spans="1:21" ht="17" thickBot="1" x14ac:dyDescent="0.25">
      <c r="A34" s="1">
        <v>32</v>
      </c>
      <c r="B34" s="27" t="s">
        <v>78</v>
      </c>
      <c r="C34" s="22">
        <v>0.15</v>
      </c>
      <c r="D34" s="23">
        <v>0.3</v>
      </c>
      <c r="G34" s="95" t="s">
        <v>79</v>
      </c>
      <c r="H34" s="96">
        <f>+IF(RIGHT(G30,13)="standard-size",H23*N21,H23*N20)</f>
        <v>1.2957374996114821</v>
      </c>
      <c r="J34" s="82"/>
      <c r="K34" s="82"/>
      <c r="L34" s="82"/>
    </row>
    <row r="35" spans="1:21" ht="15" thickBot="1" x14ac:dyDescent="0.2">
      <c r="A35" s="1">
        <v>33</v>
      </c>
      <c r="B35" s="14" t="s">
        <v>80</v>
      </c>
      <c r="C35" s="28">
        <v>0.15</v>
      </c>
      <c r="D35" s="29">
        <v>0.3</v>
      </c>
    </row>
    <row r="36" spans="1:21" ht="17" thickBot="1" x14ac:dyDescent="0.2">
      <c r="A36" s="1">
        <v>34</v>
      </c>
      <c r="B36" s="27" t="s">
        <v>81</v>
      </c>
      <c r="C36" s="15">
        <v>0.15</v>
      </c>
      <c r="D36" s="16">
        <v>0.3</v>
      </c>
      <c r="N36" s="97"/>
      <c r="O36" s="97"/>
      <c r="P36" s="97"/>
      <c r="Q36" s="97"/>
    </row>
    <row r="37" spans="1:21" ht="22" thickBot="1" x14ac:dyDescent="0.2">
      <c r="A37" s="1">
        <v>35</v>
      </c>
      <c r="B37" s="27" t="s">
        <v>82</v>
      </c>
      <c r="C37" s="15">
        <v>0.06</v>
      </c>
      <c r="D37" s="16">
        <v>0.3</v>
      </c>
      <c r="N37" s="98"/>
      <c r="O37" s="98"/>
      <c r="P37" s="98"/>
      <c r="Q37" s="98"/>
    </row>
    <row r="38" spans="1:21" ht="17" thickBot="1" x14ac:dyDescent="0.2">
      <c r="A38" s="1">
        <v>36</v>
      </c>
      <c r="B38" s="27" t="s">
        <v>83</v>
      </c>
      <c r="C38" s="22">
        <v>0.15</v>
      </c>
      <c r="D38" s="23">
        <v>0.3</v>
      </c>
      <c r="N38" s="99"/>
      <c r="O38" s="99"/>
      <c r="P38" s="99"/>
      <c r="Q38" s="99"/>
    </row>
    <row r="39" spans="1:21" ht="15" thickBot="1" x14ac:dyDescent="0.2">
      <c r="A39" s="1">
        <v>37</v>
      </c>
      <c r="B39" s="27" t="s">
        <v>84</v>
      </c>
      <c r="C39" s="100">
        <v>0.15</v>
      </c>
      <c r="D39" s="101">
        <v>0</v>
      </c>
    </row>
    <row r="40" spans="1:21" ht="15" thickBot="1" x14ac:dyDescent="0.2">
      <c r="A40" s="1">
        <v>38</v>
      </c>
      <c r="B40" s="14" t="s">
        <v>85</v>
      </c>
      <c r="C40" s="22">
        <v>0.15</v>
      </c>
      <c r="D40" s="23">
        <v>0.3</v>
      </c>
    </row>
    <row r="41" spans="1:21" ht="15" thickBot="1" x14ac:dyDescent="0.2">
      <c r="A41" s="1">
        <v>39</v>
      </c>
      <c r="B41" s="89" t="s">
        <v>86</v>
      </c>
      <c r="C41" s="28">
        <v>0.15</v>
      </c>
      <c r="D41" s="29">
        <v>0.3</v>
      </c>
    </row>
    <row r="42" spans="1:21" ht="15" thickBot="1" x14ac:dyDescent="0.2">
      <c r="A42" s="1">
        <v>40</v>
      </c>
      <c r="B42" s="27" t="s">
        <v>87</v>
      </c>
      <c r="C42" s="15">
        <v>0.15</v>
      </c>
      <c r="D42" s="16">
        <v>0.3</v>
      </c>
    </row>
    <row r="43" spans="1:21" ht="15" thickBot="1" x14ac:dyDescent="0.2">
      <c r="A43" s="1">
        <v>41</v>
      </c>
      <c r="B43" s="27" t="s">
        <v>88</v>
      </c>
      <c r="C43" s="22">
        <v>0.08</v>
      </c>
      <c r="D43" s="23">
        <v>0.3</v>
      </c>
    </row>
    <row r="44" spans="1:21" ht="15" thickBot="1" x14ac:dyDescent="0.2">
      <c r="A44" s="1">
        <v>42</v>
      </c>
      <c r="B44" s="27" t="s">
        <v>89</v>
      </c>
      <c r="C44" s="100">
        <v>0.15</v>
      </c>
      <c r="D44" s="101">
        <v>0</v>
      </c>
    </row>
    <row r="45" spans="1:21" ht="15" thickBot="1" x14ac:dyDescent="0.2">
      <c r="A45" s="1">
        <v>43</v>
      </c>
      <c r="B45" s="27" t="s">
        <v>90</v>
      </c>
      <c r="C45" s="15">
        <v>0.08</v>
      </c>
      <c r="D45" s="16">
        <v>0.3</v>
      </c>
    </row>
    <row r="46" spans="1:21" ht="15" thickBot="1" x14ac:dyDescent="0.2">
      <c r="A46" s="1">
        <v>44</v>
      </c>
      <c r="B46" s="27" t="s">
        <v>91</v>
      </c>
      <c r="C46" s="15">
        <v>0.16</v>
      </c>
      <c r="D46" s="16">
        <v>0.3</v>
      </c>
    </row>
    <row r="47" spans="1:21" ht="15" thickBot="1" x14ac:dyDescent="0.2">
      <c r="A47" s="1">
        <v>45</v>
      </c>
      <c r="B47" s="14" t="s">
        <v>92</v>
      </c>
      <c r="C47" s="28">
        <v>0.03</v>
      </c>
      <c r="D47" s="29">
        <v>0.3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Amazon Gideri Hesaplama</vt:lpstr>
      <vt:lpstr>Hizmetlerimiz</vt:lpstr>
      <vt:lpstr>Komisyon Non-Apperal</vt:lpstr>
      <vt:lpstr>Komisyon Apperal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Mert ÜÇÜNCÜ</cp:lastModifiedBy>
  <dcterms:modified xsi:type="dcterms:W3CDTF">2021-12-09T11:34:31Z</dcterms:modified>
</cp:coreProperties>
</file>